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0" windowWidth="15480" windowHeight="9135" tabRatio="771" activeTab="0"/>
  </bookViews>
  <sheets>
    <sheet name="Aperture spacecraft" sheetId="1" r:id="rId1"/>
    <sheet name="Science spacecraft" sheetId="2" r:id="rId2"/>
  </sheets>
  <definedNames/>
  <calcPr fullCalcOnLoad="1"/>
</workbook>
</file>

<file path=xl/comments1.xml><?xml version="1.0" encoding="utf-8"?>
<comments xmlns="http://schemas.openxmlformats.org/spreadsheetml/2006/main">
  <authors>
    <author>Jeffrey Antol</author>
  </authors>
  <commentList>
    <comment ref="E6" authorId="0">
      <text>
        <r>
          <rPr>
            <sz val="10"/>
            <rFont val="Tahoma"/>
            <family val="2"/>
          </rPr>
          <t>Current Best Estimate - based on Todays SOA mass</t>
        </r>
        <r>
          <rPr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sz val="10"/>
            <rFont val="Tahoma"/>
            <family val="2"/>
          </rPr>
          <t>"Future Best Estimate (FBE) - based on technology projections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sz val="10"/>
            <rFont val="Tahoma"/>
            <family val="2"/>
          </rPr>
          <t xml:space="preserve">Current Best Estimate - based on Todays SOA 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sz val="10"/>
            <rFont val="Tahoma"/>
            <family val="2"/>
          </rPr>
          <t xml:space="preserve">Current Best Estimate - based on Todays SOA </t>
        </r>
        <r>
          <rPr>
            <sz val="8"/>
            <rFont val="Tahoma"/>
            <family val="0"/>
          </rPr>
          <t xml:space="preserve">
</t>
        </r>
      </text>
    </comment>
    <comment ref="L6" authorId="0">
      <text>
        <r>
          <rPr>
            <sz val="10"/>
            <rFont val="Tahoma"/>
            <family val="2"/>
          </rPr>
          <t>"Future Best Estimate (FBE) - based on technology projections</t>
        </r>
        <r>
          <rPr>
            <sz val="8"/>
            <rFont val="Tahoma"/>
            <family val="0"/>
          </rPr>
          <t xml:space="preserve">
</t>
        </r>
      </text>
    </comment>
    <comment ref="M6" authorId="0">
      <text>
        <r>
          <rPr>
            <sz val="10"/>
            <rFont val="Tahoma"/>
            <family val="2"/>
          </rPr>
          <t>"Future Best Estimate (FBE) - based on technology projections</t>
        </r>
      </text>
    </comment>
  </commentList>
</comments>
</file>

<file path=xl/comments2.xml><?xml version="1.0" encoding="utf-8"?>
<comments xmlns="http://schemas.openxmlformats.org/spreadsheetml/2006/main">
  <authors>
    <author>Jeffrey Antol</author>
  </authors>
  <commentList>
    <comment ref="E6" authorId="0">
      <text>
        <r>
          <rPr>
            <sz val="10"/>
            <rFont val="Tahoma"/>
            <family val="2"/>
          </rPr>
          <t>Current Best Estimate - based on Todays SOA mass</t>
        </r>
        <r>
          <rPr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sz val="10"/>
            <rFont val="Tahoma"/>
            <family val="2"/>
          </rPr>
          <t>"Future Best Estimate (FBE) - based on technology projections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sz val="10"/>
            <rFont val="Tahoma"/>
            <family val="2"/>
          </rPr>
          <t xml:space="preserve">Current Best Estimate - based on Todays SOA 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sz val="10"/>
            <rFont val="Tahoma"/>
            <family val="2"/>
          </rPr>
          <t xml:space="preserve">Current Best Estimate - based on Todays SOA </t>
        </r>
        <r>
          <rPr>
            <sz val="8"/>
            <rFont val="Tahoma"/>
            <family val="0"/>
          </rPr>
          <t xml:space="preserve">
</t>
        </r>
      </text>
    </comment>
    <comment ref="L6" authorId="0">
      <text>
        <r>
          <rPr>
            <sz val="10"/>
            <rFont val="Tahoma"/>
            <family val="2"/>
          </rPr>
          <t>"Future Best Estimate (FBE) - based on technology projections</t>
        </r>
        <r>
          <rPr>
            <sz val="8"/>
            <rFont val="Tahoma"/>
            <family val="0"/>
          </rPr>
          <t xml:space="preserve">
</t>
        </r>
      </text>
    </comment>
    <comment ref="M6" authorId="0">
      <text>
        <r>
          <rPr>
            <sz val="10"/>
            <rFont val="Tahoma"/>
            <family val="2"/>
          </rPr>
          <t>"Future Best Estimate (FBE) - based on technology projections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<sst xmlns="http://schemas.openxmlformats.org/spreadsheetml/2006/main" count="733" uniqueCount="272">
  <si>
    <t>System</t>
  </si>
  <si>
    <t>Payload</t>
  </si>
  <si>
    <t xml:space="preserve">Structure </t>
  </si>
  <si>
    <t>Comments</t>
  </si>
  <si>
    <t>Mass (kg)</t>
  </si>
  <si>
    <t>Source</t>
  </si>
  <si>
    <t>Revisions</t>
  </si>
  <si>
    <t xml:space="preserve">Subtotal </t>
  </si>
  <si>
    <t xml:space="preserve"> </t>
  </si>
  <si>
    <t>Comm</t>
  </si>
  <si>
    <t>Thermal</t>
  </si>
  <si>
    <t>Shielding</t>
  </si>
  <si>
    <t>Total Wet Mass (kg)</t>
  </si>
  <si>
    <t>Total Dry Mass (kg)</t>
  </si>
  <si>
    <t xml:space="preserve"> Power</t>
  </si>
  <si>
    <t>Propulsion</t>
  </si>
  <si>
    <t xml:space="preserve">Propellant </t>
  </si>
  <si>
    <t>C&amp;DH</t>
  </si>
  <si>
    <t>Vis</t>
  </si>
  <si>
    <t>SWIR</t>
  </si>
  <si>
    <t>Mid-IR</t>
  </si>
  <si>
    <t>Quan-tity</t>
  </si>
  <si>
    <t>J. Zawodny</t>
  </si>
  <si>
    <t>"</t>
  </si>
  <si>
    <t>Cabling</t>
  </si>
  <si>
    <t>Heaters</t>
  </si>
  <si>
    <t>Heat Pipes</t>
  </si>
  <si>
    <t>MLI</t>
  </si>
  <si>
    <t>Propellant</t>
  </si>
  <si>
    <t>Secondary Structure</t>
  </si>
  <si>
    <t xml:space="preserve">SMAD - 2 to 5% of  dry mass </t>
  </si>
  <si>
    <t xml:space="preserve">SMAD - 8 to 12% of  wet mass </t>
  </si>
  <si>
    <t>Total Mass       FBE        (kg)</t>
  </si>
  <si>
    <t>Total Mass CBE        (kg)</t>
  </si>
  <si>
    <r>
      <t>Mass  Summary</t>
    </r>
    <r>
      <rPr>
        <sz val="16"/>
        <rFont val="Arial"/>
        <family val="2"/>
      </rPr>
      <t xml:space="preserve"> (FBE)</t>
    </r>
  </si>
  <si>
    <t>Ed Mettler 8/1</t>
  </si>
  <si>
    <t>Stirling Radioisotope Generators (SRG)</t>
  </si>
  <si>
    <t>Current Best Estimate</t>
  </si>
  <si>
    <t>Future Best Estimate</t>
  </si>
  <si>
    <t>No science instruments on Aperture s/c</t>
  </si>
  <si>
    <t xml:space="preserve">Spacecraft bus </t>
  </si>
  <si>
    <t xml:space="preserve">Low thrust, continuous operation case </t>
  </si>
  <si>
    <t>Large Thrusters</t>
  </si>
  <si>
    <t>LT gimbals</t>
  </si>
  <si>
    <t>LT PPUs + cabling</t>
  </si>
  <si>
    <t>LT GDUs + plumbing</t>
  </si>
  <si>
    <t>Small Thrusters</t>
  </si>
  <si>
    <t>ST standoffs</t>
  </si>
  <si>
    <t>ST PPUs + cabling</t>
  </si>
  <si>
    <t>ST GDUs + plumbing</t>
  </si>
  <si>
    <t>Prop Tank</t>
  </si>
  <si>
    <t>Bob Cataldo/Tim Sarver Verhey 7/14</t>
  </si>
  <si>
    <t>Support Structure</t>
  </si>
  <si>
    <t>Assumed 2% of s/c bus dry mass (500kg)</t>
  </si>
  <si>
    <t>RASC - L2 Earth Observatory - Aperture Spacecraft</t>
  </si>
  <si>
    <r>
      <t>5 kg/m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(452m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area per IDEAS model)</t>
    </r>
  </si>
  <si>
    <t>CBE for Membranes</t>
  </si>
  <si>
    <t>RASC - L2 Earth Observatory - Science Spacecraft</t>
  </si>
  <si>
    <t>**</t>
  </si>
  <si>
    <t>Stirling Radioisotope Generators (SRG) with output of 2000We</t>
  </si>
  <si>
    <t>Stirling Radioisotope Generators (SRG) with output of 3000We</t>
  </si>
  <si>
    <t>Telescope</t>
  </si>
  <si>
    <t>Rotating telescope section</t>
  </si>
  <si>
    <t>Assumed 8% of s/c bus wet mass (1200kg)</t>
  </si>
  <si>
    <t>Assumed 2% of s/c bus dry mass (1000kg)</t>
  </si>
  <si>
    <t>SRG</t>
  </si>
  <si>
    <t>GNC</t>
  </si>
  <si>
    <t>GNC Computers</t>
  </si>
  <si>
    <t>IMUs</t>
  </si>
  <si>
    <t>Average Power CBE        (W)</t>
  </si>
  <si>
    <t>Peak Power CBE        (W)</t>
  </si>
  <si>
    <t>Average Power FBE        (W)</t>
  </si>
  <si>
    <t>Peak Power FBE        (W)</t>
  </si>
  <si>
    <t xml:space="preserve">Technology SOA Date for FBE </t>
  </si>
  <si>
    <t>Total Power (W)</t>
  </si>
  <si>
    <r>
      <t xml:space="preserve">        Mass  Summary </t>
    </r>
    <r>
      <rPr>
        <sz val="16"/>
        <rFont val="Arial"/>
        <family val="2"/>
      </rPr>
      <t>(CBE)</t>
    </r>
  </si>
  <si>
    <t>Avg Power (W)</t>
  </si>
  <si>
    <t>Peak Power (W)</t>
  </si>
  <si>
    <r>
      <t xml:space="preserve">Power Summary </t>
    </r>
    <r>
      <rPr>
        <sz val="16"/>
        <rFont val="Arial"/>
        <family val="2"/>
      </rPr>
      <t>(CBE)</t>
    </r>
  </si>
  <si>
    <t>loop heat pipe operational controller heaters</t>
  </si>
  <si>
    <t>Loop Heat Pipes</t>
  </si>
  <si>
    <r>
      <t>115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@ 0.1 lb/ft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: 12 lbs</t>
    </r>
  </si>
  <si>
    <t>231 ft2 @ 0.1 lb/ft2: 23 lbs</t>
  </si>
  <si>
    <t>David Steinfeld 9/15</t>
  </si>
  <si>
    <t>s/c bus + electronics heaters</t>
  </si>
  <si>
    <t>Formation Ka-Band Metrology</t>
  </si>
  <si>
    <t>Ka-Band Transceiver &amp; 4-Patch Antennae; one cm range, one arcminute bearing relative accuracy</t>
  </si>
  <si>
    <t>Ongoing funded development for TPF. Relative Range &amp; Bearing bt S/C</t>
  </si>
  <si>
    <t>Advanced Ka-Band Transceiver &amp; 4-Patch Antennae; 0.5-cm range, 0.5-arcminute bearing relative accuracy</t>
  </si>
  <si>
    <t>Reduced mass &amp; power from further miniaturization/ integration of electronics chips and packaging technology</t>
  </si>
  <si>
    <t>Similarity Ref is Questar-7 Maksutov Cassegrain Catadioptric: New design is 0.4-m Folded, 2.5-m Focal length, 10-cm Dia, 1.0 Deg FOV Telescope w/4096 Square CCD Detector &amp; Digital Electr.</t>
  </si>
  <si>
    <t>New Development needed for NAV function: Lightweight long focal length Telescope, Large format CCD for ~4.2 microradian resolutiopn, w/ internal detector and electronics Redundancy</t>
  </si>
  <si>
    <t>Similarity Ref is Questar-7 Maksutov Cassegrain Catadioptric: Advance lightweight design is 0.4-m Folded, 2.5-m Focal length, 10-cm Dia, 1.0 Deg FOV Telescope w/4096 Square CMOS APS Detector, on-chip processing, Redundant internal detectors &amp; electronics</t>
  </si>
  <si>
    <t>Athermalized Lightrweight Structure &amp; Optical Train of Titanium or Silicon Carbide or Beryllium barrel and Lens Cells, BK-7, Zerodour, Pyrex, coated lens and mirrors, Heat rejection filters.</t>
  </si>
  <si>
    <t>Star Cameras &amp; electronics</t>
  </si>
  <si>
    <t>(4) Star Camera Heads plus (2) Electronics, CCD Detectors</t>
  </si>
  <si>
    <t>1 Set</t>
  </si>
  <si>
    <t>DTU Adv Stellar compass; Orsted, SAC-C, ADEOS 11, CHAMP</t>
  </si>
  <si>
    <t>(4) Star Camera Heads plus (2) Electronics, Adv. CMOS APS Detectors w/on-chip processing</t>
  </si>
  <si>
    <t>Reduced mass &amp; power from further miniaturization/integration of electronics &amp; packaging and APS tech.</t>
  </si>
  <si>
    <t>Litton SIRU HRG, Internal Redundant Gyros/Accels, Electr.</t>
  </si>
  <si>
    <t>Cassini; EOS AURA, CHEMISTRY: Bias Stability 0.003 deg/hr, R-W 0.0001 deg/rt-hr</t>
  </si>
  <si>
    <t>Advanced MEMS version Litton SIRU, Internal Redundant Gyros/Accels, Electr.</t>
  </si>
  <si>
    <t>Coarse Sun Sensors</t>
  </si>
  <si>
    <t>EDO-Barnes 0.7 Deg Accuracy</t>
  </si>
  <si>
    <t>FOV: 128 X 128 Deg Acquisition Sensor</t>
  </si>
  <si>
    <t>Advanced Tech Version: APS detector tech, 0.2 Deg Accuracy</t>
  </si>
  <si>
    <t>FOV: 180 X 180 Deg, Digital CMOS 1000 X 1000 format APS w/on-chip processing</t>
  </si>
  <si>
    <t>Reaction wheels &amp; drive elecronics</t>
  </si>
  <si>
    <t>SMEX (Clagget) 4 Nms; 0.14 Nm</t>
  </si>
  <si>
    <t>TRACE, WIRE, SWAS</t>
  </si>
  <si>
    <t>Adv lightweight low power version SMEX (Clagget) 4 Nms; 0.14 Nm</t>
  </si>
  <si>
    <t>High speed low mass composite rotors on magnetic bearings &amp; miniaturized lower power electronics</t>
  </si>
  <si>
    <t>Interface Electronics for GNC Sensors &amp; Actuators, and RIU to Main Data Bus</t>
  </si>
  <si>
    <t>I/O cards for Data I/F w C&amp;DH Main Bus via RIU; Analog &amp; digital I/O; A/D, D/A conversions; house keeping sensors; I/F w/ EP Thrusters Control and Metrology</t>
  </si>
  <si>
    <t>All data channels are redundant. Mil-Std 1553B assumed for main data handling bus architecture, and distributed subsystem microprocessors I/F via RIU's (remote interface units); GNC LAN architecture assumed.</t>
  </si>
  <si>
    <t>I/O 3-D modules for Data I/F w C&amp;DH Main Bus via RIU; Analog &amp; digital I/O; A/D, D/A conversions; house keeping sensors; I/F w/ EP Thrusters Control and Metrology</t>
  </si>
  <si>
    <t>2015 - 2020</t>
  </si>
  <si>
    <t>Advanced 3-D stacked lowpower microchip technology or SUGAR CUBE architecture</t>
  </si>
  <si>
    <t>Adv BAE SFC</t>
  </si>
  <si>
    <t>Next Gen RAD 750 Microprocessor</t>
  </si>
  <si>
    <t>3-D Ultra-Thin Chip Scale Integration SFC- Internal multi-Redundant w/ autonomous reconfiguration mng't.</t>
  </si>
  <si>
    <t>Nanoscale Flight Computer w/ IC feature size &lt;10 nm &amp; ~ 9 Giga Gates/chip; 3-D Sugar Cube packaging architecture</t>
  </si>
  <si>
    <t>Non Volatile Memory</t>
  </si>
  <si>
    <t>RAM NVM</t>
  </si>
  <si>
    <t>12 GBIT Data per Card</t>
  </si>
  <si>
    <t>Next Generation NVM RAM: FRAM, MRAM, CRAM Options</t>
  </si>
  <si>
    <t>Feature size 22 nm, 64GBit Data per Module, Non-volatile and Dynamic Random-Access</t>
  </si>
  <si>
    <t>DTCI I/F</t>
  </si>
  <si>
    <t>Data, TLM, CMD, EP, Star Cameras Interfaces</t>
  </si>
  <si>
    <t>3-D Ultra-Thin Chip Scale Integration- Internal Redundant w/ autonomous reconfiguration mng't.</t>
  </si>
  <si>
    <t>CMIC I/F</t>
  </si>
  <si>
    <t xml:space="preserve">Heartbeat, Sys Reset Tr, A/B Side Selects </t>
  </si>
  <si>
    <t>ULDL I/F</t>
  </si>
  <si>
    <t>RS-422 Data I/F to like units</t>
  </si>
  <si>
    <t>GIF I/F</t>
  </si>
  <si>
    <t>Discrete I/O, Mil-Std 1553B I/F</t>
  </si>
  <si>
    <t>Ultra-high speed Duplex-Redundant Data bus</t>
  </si>
  <si>
    <t>Backplane</t>
  </si>
  <si>
    <t>6U cPCI</t>
  </si>
  <si>
    <t>New Generation 3-D redundant architecture</t>
  </si>
  <si>
    <t>Chassis</t>
  </si>
  <si>
    <t>Aluminum Enclosure</t>
  </si>
  <si>
    <t>Compact 3-D Al enclosure</t>
  </si>
  <si>
    <t>Subsystem Shielding</t>
  </si>
  <si>
    <t>GNC: TBD for Solar Energetic Particles over 10 years</t>
  </si>
  <si>
    <t>TBD</t>
  </si>
  <si>
    <t>Need Environmental-Equipment Analysis</t>
  </si>
  <si>
    <t xml:space="preserve">GNC: TBD for low susceptability </t>
  </si>
  <si>
    <t>Robust parts &amp; packaging technologies</t>
  </si>
  <si>
    <t>Ed Mettler 10/3</t>
  </si>
  <si>
    <t>Formation Optical Metrology</t>
  </si>
  <si>
    <t>Laser Transceiver &amp; Platform</t>
  </si>
  <si>
    <t>Internal Redundant Laser Transceiver</t>
  </si>
  <si>
    <t>Reduced mass &amp; power from miniaturization/ integration of electronics packaging &amp; Internal Redundancy</t>
  </si>
  <si>
    <t>1 set</t>
  </si>
  <si>
    <t>IMU</t>
  </si>
  <si>
    <t>Reaction wheels &amp; drive electronics</t>
  </si>
  <si>
    <t>Adv lightweight version SMEX (Clagget) 4 Nms; 0.14 Nm</t>
  </si>
  <si>
    <t xml:space="preserve">Telescope Rotation Drive Motor &amp; Electronics </t>
  </si>
  <si>
    <t>2-Phase DC Torque Motor w/ 12-Bit Absolute Optical Encoder</t>
  </si>
  <si>
    <t>Redundant Motor Windings, Encoders, Commutation &amp; Drive Electronics</t>
  </si>
  <si>
    <t>Reduced mass/power from Higher efficiency magnetic materials &amp; electronics miniaturization</t>
  </si>
  <si>
    <t>Momentum Wheel/Drive Electr.</t>
  </si>
  <si>
    <t>For Telescope Momentum Cancellation</t>
  </si>
  <si>
    <t>Integral Electronics; Aligned to Telescope Spin Bearing Axis; Higher speed counter-rotating rotor</t>
  </si>
  <si>
    <t>All Digital Data, TLM, CMD, EP, Star Cameras Interfaces</t>
  </si>
  <si>
    <t>Tim Sarver-Verhey 9/24</t>
  </si>
  <si>
    <t>n/a</t>
  </si>
  <si>
    <t>Small Engines: 250 W each for maximum thrust of 11.7 mN; 3000 second Isp; 70% eff.; assumed two engines operating</t>
  </si>
  <si>
    <t>Small Engines: 250 W each for maximum thrust of 2.7 mN; 8700 second Isp; 90% eff.</t>
  </si>
  <si>
    <t>5% tankage fraction</t>
  </si>
  <si>
    <t>2.5% tankage fraction</t>
  </si>
  <si>
    <t>Low thrust, continuous operation case</t>
  </si>
  <si>
    <t>Big Engines: 1.25 kW each for maximum operation of 2 engines; maximum thrust of 70 mN; 2500 seconds, 70% eff.</t>
  </si>
  <si>
    <t>Small Engines: 250 W each for maximum thrust of 7.8 mN; 4500 second Isp; 70% eff.</t>
  </si>
  <si>
    <t>Tim Sarver Verhey 10/5</t>
  </si>
  <si>
    <t>Tim Sarver-Verhey 10/5</t>
  </si>
  <si>
    <t>S-Band transceiver</t>
  </si>
  <si>
    <t xml:space="preserve"> for commands and health/status telemetry</t>
  </si>
  <si>
    <t xml:space="preserve">UHF transponder </t>
  </si>
  <si>
    <t>for crosslink communications with science spacecraft</t>
  </si>
  <si>
    <t>S-band patch dipole antenna</t>
  </si>
  <si>
    <t>1 meter inflatable antenna and gimbal</t>
  </si>
  <si>
    <t xml:space="preserve">( .53kg/m^2), including feed) </t>
  </si>
  <si>
    <t xml:space="preserve">(QPSK modulation, operating at ~100 MBPS) </t>
  </si>
  <si>
    <t xml:space="preserve">X-Band telemetry transceiver </t>
  </si>
  <si>
    <t>for crosslink communications with aperture spacecraft</t>
  </si>
  <si>
    <t>2025-2030</t>
  </si>
  <si>
    <r>
      <t xml:space="preserve">     Power Summary </t>
    </r>
    <r>
      <rPr>
        <sz val="16"/>
        <rFont val="Arial"/>
        <family val="2"/>
      </rPr>
      <t>(FBE)</t>
    </r>
  </si>
  <si>
    <t>Low thrust, continuous operation case - 3 year propellant load - case would not close with 5 year or longer load</t>
  </si>
  <si>
    <t>Low thrust, continuous operation case - w/6 year propellant supply</t>
  </si>
  <si>
    <t>Case would not close for 10 year propellant case for vehicle masses less than 10 tons.</t>
  </si>
  <si>
    <t>Tim Sarver-Verhey - 9/24</t>
  </si>
  <si>
    <t>Tim Sarver Verhey 9/24</t>
  </si>
  <si>
    <t>Misc Cables, switches, components</t>
  </si>
  <si>
    <t>Fred Stillwagen 12/5</t>
  </si>
  <si>
    <t xml:space="preserve">Quadrafilar UHF Helix antenna </t>
  </si>
  <si>
    <t>Power Amp</t>
  </si>
  <si>
    <t>Misc. cables, switches, components</t>
  </si>
  <si>
    <t>100 Watt Tx Power</t>
  </si>
  <si>
    <t>for full coverage on uplink</t>
  </si>
  <si>
    <t>to allow redundant crossover communications capability -- (S-band, UHF and X-Band)</t>
  </si>
  <si>
    <t>CPU Board</t>
  </si>
  <si>
    <t>House Keeping Board</t>
  </si>
  <si>
    <t>Network I/F Board</t>
  </si>
  <si>
    <t>Low Voltage Power</t>
  </si>
  <si>
    <t>Quang Nguyen / Ken McCaughey 10/17</t>
  </si>
  <si>
    <t>Quang Nguyen/Ken McCaughey 10/17</t>
  </si>
  <si>
    <t>75% efficiency</t>
  </si>
  <si>
    <t>40% of total mass</t>
  </si>
  <si>
    <t>Spacewire, mult Buses - 100 Mbps</t>
  </si>
  <si>
    <t>85% efficiency</t>
  </si>
  <si>
    <t>50% of total mass</t>
  </si>
  <si>
    <t>redundant C&amp;DH is a cold spare</t>
  </si>
  <si>
    <t>Mass Memory Boards</t>
  </si>
  <si>
    <t>AiR S290 x4, 1 active - 2000 Gb</t>
  </si>
  <si>
    <t>BAE RAD 750 SBC - 133 MHz</t>
  </si>
  <si>
    <t>BAE tech. roadmap - 0.5 to 1 GHz</t>
  </si>
  <si>
    <t>Non-volatile mem banks - 2000 Gb</t>
  </si>
  <si>
    <t>Spacerwire - 1 Gbps</t>
  </si>
  <si>
    <t>Spacerwire - 100 Mbps</t>
  </si>
  <si>
    <t>BAE tech. roadmap - 500 MHz</t>
  </si>
  <si>
    <t>Assumed 12% of s/c bus wet mass (3700kg)</t>
  </si>
  <si>
    <t>Chris Strickland</t>
  </si>
  <si>
    <t>15% Mass fraction of all subsystems without a secondary structure listed</t>
  </si>
  <si>
    <t>10% Mass fraction of all subsystems without a secondary structure listed</t>
  </si>
  <si>
    <t>Thermal Protection of Telescope - Shuttle like tiles</t>
  </si>
  <si>
    <r>
      <t>22# / ft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for Shuttle tiles  assume 0.25m</t>
    </r>
    <r>
      <rPr>
        <vertAlign val="superscript"/>
        <sz val="9"/>
        <rFont val="Arial"/>
        <family val="2"/>
      </rPr>
      <t>3</t>
    </r>
  </si>
  <si>
    <t>25% reduction due to specific design for anticipated loads and speed</t>
  </si>
  <si>
    <t>Spin/Despin Rotary Drive</t>
  </si>
  <si>
    <t>Chris Strickland/ DJ Caldwell</t>
  </si>
  <si>
    <t>scaled present day spin/despin motors on spacecraft comparing supported mass</t>
  </si>
  <si>
    <t>50% reduction due to specific design for anticipated loads and speed</t>
  </si>
  <si>
    <t>Assumed 12% of s/c bus wet mass (5600kg)</t>
  </si>
  <si>
    <t>Assumed 6% of s/c bus wet mass (1200kg)</t>
  </si>
  <si>
    <t>Membrane</t>
  </si>
  <si>
    <r>
      <t>1 kg/m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 xml:space="preserve">- Primary Membrane Mirror </t>
    </r>
  </si>
  <si>
    <t>Membrane Support Vibration Damping</t>
  </si>
  <si>
    <r>
      <t>Inflatable and rigidizable support rings and struts using 1kg/m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areal density</t>
    </r>
  </si>
  <si>
    <t>support structure included with membrane assumption</t>
  </si>
  <si>
    <t>Revised all values for both CBE &amp; FBE</t>
  </si>
  <si>
    <t>Revised PK PWR</t>
  </si>
  <si>
    <t>Revised PK Pwr</t>
  </si>
  <si>
    <t>Revised Pk Pwr</t>
  </si>
  <si>
    <t>Revised Pk PRW</t>
  </si>
  <si>
    <t>Piezo Control Devices for Membrane Shape</t>
  </si>
  <si>
    <t>Piezo MEMS, Inchworms &amp; PVDF Thin Film Electrode Patterns</t>
  </si>
  <si>
    <t>Quantity</t>
  </si>
  <si>
    <t>See areal density under structures</t>
  </si>
  <si>
    <t>Tech devel. In early stage with working small scale Lab models</t>
  </si>
  <si>
    <t>Assumed Tech advanced to large scale fabrication stage with precursor 10-m or larger dia flight experiments</t>
  </si>
  <si>
    <t>45K MEMS for Average of 100 per sq. meter</t>
  </si>
  <si>
    <t>Revised</t>
  </si>
  <si>
    <t>Revised was 0</t>
  </si>
  <si>
    <t xml:space="preserve">Revised </t>
  </si>
  <si>
    <t>45K MEMS for Av of 100 per sq. meter</t>
  </si>
  <si>
    <r>
      <t xml:space="preserve"> </t>
    </r>
    <r>
      <rPr>
        <sz val="9"/>
        <rFont val="Arial"/>
        <family val="2"/>
      </rPr>
      <t>Sun-Earth Limb Sensor</t>
    </r>
  </si>
  <si>
    <t>Advanced electronics miniaturization</t>
  </si>
  <si>
    <t>and low power devices</t>
  </si>
  <si>
    <t>2015-2020</t>
  </si>
  <si>
    <r>
      <t xml:space="preserve">Big Engines: </t>
    </r>
    <r>
      <rPr>
        <b/>
        <sz val="9"/>
        <color indexed="10"/>
        <rFont val="Arial"/>
        <family val="2"/>
      </rPr>
      <t>1.3 kW each for maximum operation of 2 engines; maximum thrust of 70 mN; 9200 seconds, 90% eff.</t>
    </r>
  </si>
  <si>
    <t>E. Mettler, 01-22-04</t>
  </si>
  <si>
    <t>Two small telescope sensors: Sun-Earth Limb (SEL) Sensor, and Primary Mirror Center-of-Curvature (COC) Sensor</t>
  </si>
  <si>
    <t>Revised CBE and FBE values for added COC Sensor</t>
  </si>
  <si>
    <t xml:space="preserve">Added pk power </t>
  </si>
  <si>
    <t>added Pk power</t>
  </si>
  <si>
    <r>
      <t>Big Engines: 1.30 kW each for maximum operation of 2 engines; maximum thrust of</t>
    </r>
    <r>
      <rPr>
        <b/>
        <sz val="9"/>
        <color indexed="10"/>
        <rFont val="Arial"/>
        <family val="2"/>
      </rPr>
      <t xml:space="preserve"> 70 mN;</t>
    </r>
    <r>
      <rPr>
        <sz val="9"/>
        <rFont val="Arial"/>
        <family val="2"/>
      </rPr>
      <t xml:space="preserve"> 9200 seconds, 90% eff.</t>
    </r>
  </si>
  <si>
    <t>Revised:E. Mettler</t>
  </si>
  <si>
    <t>Big Engines: 1.30 kW each for maximum operation of 2 engines; maximum thrust of 105 mN; 1675 seconds, 70% eff.</t>
  </si>
  <si>
    <t>Used calc = 1.3 KW Total for 70mN PK total thrust Req'd &amp; 90% Efficiency. See simulations</t>
  </si>
  <si>
    <t>PK Pwr Revised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</si>
</sst>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%"/>
    <numFmt numFmtId="170" formatCode="[$€-2]\ #,##0.00_);[Red]\([$€-2]\ #,##0.00\)"/>
    <numFmt numFmtId="171" formatCode="#,##0.0"/>
  </numFmts>
  <fonts count="2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Geneva"/>
      <family val="0"/>
    </font>
    <font>
      <sz val="16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b/>
      <sz val="16"/>
      <color indexed="8"/>
      <name val="Arial"/>
      <family val="2"/>
    </font>
    <font>
      <vertAlign val="superscript"/>
      <sz val="9"/>
      <name val="Arial"/>
      <family val="2"/>
    </font>
    <font>
      <sz val="8"/>
      <name val="Tahoma"/>
      <family val="0"/>
    </font>
    <font>
      <sz val="10"/>
      <name val="Tahoma"/>
      <family val="2"/>
    </font>
    <font>
      <u val="single"/>
      <sz val="10"/>
      <name val="Arial"/>
      <family val="0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lightUp"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9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ck"/>
      <top style="double"/>
      <bottom style="thin"/>
    </border>
    <border>
      <left style="medium"/>
      <right style="thin"/>
      <top style="double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ck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43">
    <xf numFmtId="0" fontId="0" fillId="0" borderId="0" xfId="0" applyAlignment="1">
      <alignment/>
    </xf>
    <xf numFmtId="3" fontId="2" fillId="2" borderId="1" xfId="15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2" borderId="6" xfId="0" applyFill="1" applyBorder="1" applyAlignment="1">
      <alignment horizontal="center" wrapText="1"/>
    </xf>
    <xf numFmtId="3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3" fontId="0" fillId="2" borderId="7" xfId="0" applyNumberFormat="1" applyFill="1" applyBorder="1" applyAlignment="1">
      <alignment horizontal="center"/>
    </xf>
    <xf numFmtId="0" fontId="0" fillId="2" borderId="8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3" fontId="0" fillId="2" borderId="3" xfId="0" applyNumberFormat="1" applyFill="1" applyBorder="1" applyAlignment="1">
      <alignment horizontal="center"/>
    </xf>
    <xf numFmtId="3" fontId="2" fillId="2" borderId="1" xfId="15" applyNumberFormat="1" applyFont="1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21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2" borderId="3" xfId="0" applyFont="1" applyFill="1" applyBorder="1" applyAlignment="1">
      <alignment horizontal="center" wrapText="1"/>
    </xf>
    <xf numFmtId="3" fontId="2" fillId="4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center" wrapText="1"/>
    </xf>
    <xf numFmtId="3" fontId="10" fillId="2" borderId="6" xfId="15" applyNumberFormat="1" applyFont="1" applyFill="1" applyBorder="1" applyAlignment="1">
      <alignment horizontal="center"/>
    </xf>
    <xf numFmtId="0" fontId="10" fillId="2" borderId="13" xfId="0" applyFont="1" applyFill="1" applyBorder="1" applyAlignment="1">
      <alignment horizontal="left" wrapText="1"/>
    </xf>
    <xf numFmtId="3" fontId="10" fillId="2" borderId="6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wrapText="1"/>
    </xf>
    <xf numFmtId="3" fontId="9" fillId="2" borderId="1" xfId="15" applyNumberFormat="1" applyFont="1" applyFill="1" applyBorder="1" applyAlignment="1">
      <alignment horizontal="center" wrapText="1"/>
    </xf>
    <xf numFmtId="3" fontId="10" fillId="2" borderId="6" xfId="15" applyNumberFormat="1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3" fontId="10" fillId="2" borderId="7" xfId="0" applyNumberFormat="1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0" borderId="11" xfId="21" applyNumberFormat="1" applyFont="1" applyBorder="1" applyAlignment="1">
      <alignment horizontal="center" vertical="center" wrapText="1"/>
      <protection/>
    </xf>
    <xf numFmtId="164" fontId="10" fillId="0" borderId="11" xfId="21" applyNumberFormat="1" applyFont="1" applyBorder="1" applyAlignment="1">
      <alignment horizontal="center" vertical="center" wrapText="1"/>
      <protection/>
    </xf>
    <xf numFmtId="3" fontId="2" fillId="3" borderId="2" xfId="15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0" fillId="0" borderId="11" xfId="0" applyBorder="1" applyAlignment="1">
      <alignment horizontal="left" wrapText="1" indent="2"/>
    </xf>
    <xf numFmtId="0" fontId="10" fillId="3" borderId="2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 indent="2"/>
    </xf>
    <xf numFmtId="3" fontId="10" fillId="2" borderId="3" xfId="15" applyNumberFormat="1" applyFont="1" applyFill="1" applyBorder="1" applyAlignment="1">
      <alignment horizontal="center" wrapText="1"/>
    </xf>
    <xf numFmtId="0" fontId="0" fillId="3" borderId="14" xfId="0" applyFill="1" applyBorder="1" applyAlignment="1">
      <alignment horizontal="left" wrapText="1"/>
    </xf>
    <xf numFmtId="3" fontId="0" fillId="2" borderId="7" xfId="15" applyNumberFormat="1" applyFill="1" applyBorder="1" applyAlignment="1">
      <alignment horizontal="center" wrapText="1"/>
    </xf>
    <xf numFmtId="3" fontId="10" fillId="2" borderId="15" xfId="0" applyNumberFormat="1" applyFont="1" applyFill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5" borderId="17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left" wrapText="1"/>
    </xf>
    <xf numFmtId="0" fontId="10" fillId="0" borderId="11" xfId="21" applyFont="1" applyBorder="1" applyAlignment="1">
      <alignment horizontal="center" vertical="center" wrapText="1"/>
      <protection/>
    </xf>
    <xf numFmtId="0" fontId="12" fillId="3" borderId="5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3" fontId="0" fillId="2" borderId="6" xfId="15" applyNumberFormat="1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left" wrapText="1"/>
    </xf>
    <xf numFmtId="3" fontId="10" fillId="2" borderId="3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2" fillId="2" borderId="18" xfId="0" applyFont="1" applyFill="1" applyBorder="1" applyAlignment="1">
      <alignment horizontal="left" wrapText="1"/>
    </xf>
    <xf numFmtId="0" fontId="9" fillId="2" borderId="18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20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left" wrapText="1"/>
    </xf>
    <xf numFmtId="0" fontId="10" fillId="3" borderId="21" xfId="0" applyFont="1" applyFill="1" applyBorder="1" applyAlignment="1">
      <alignment horizontal="left" wrapText="1"/>
    </xf>
    <xf numFmtId="0" fontId="12" fillId="3" borderId="2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0" fontId="0" fillId="3" borderId="21" xfId="0" applyFont="1" applyFill="1" applyBorder="1" applyAlignment="1">
      <alignment horizontal="left" wrapText="1"/>
    </xf>
    <xf numFmtId="3" fontId="0" fillId="3" borderId="9" xfId="0" applyNumberFormat="1" applyFill="1" applyBorder="1" applyAlignment="1">
      <alignment horizontal="center"/>
    </xf>
    <xf numFmtId="0" fontId="12" fillId="3" borderId="14" xfId="0" applyFont="1" applyFill="1" applyBorder="1" applyAlignment="1">
      <alignment horizontal="left" wrapText="1"/>
    </xf>
    <xf numFmtId="0" fontId="12" fillId="3" borderId="21" xfId="0" applyFont="1" applyFill="1" applyBorder="1" applyAlignment="1">
      <alignment horizontal="left" wrapText="1"/>
    </xf>
    <xf numFmtId="3" fontId="2" fillId="3" borderId="5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3" fontId="0" fillId="2" borderId="6" xfId="15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2" borderId="24" xfId="0" applyFont="1" applyFill="1" applyBorder="1" applyAlignment="1">
      <alignment horizontal="left" wrapText="1"/>
    </xf>
    <xf numFmtId="3" fontId="2" fillId="2" borderId="25" xfId="15" applyNumberFormat="1" applyFont="1" applyFill="1" applyBorder="1" applyAlignment="1">
      <alignment horizontal="center"/>
    </xf>
    <xf numFmtId="0" fontId="10" fillId="3" borderId="26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2" fontId="1" fillId="0" borderId="27" xfId="0" applyNumberFormat="1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0" fontId="2" fillId="6" borderId="30" xfId="0" applyFont="1" applyFill="1" applyBorder="1" applyAlignment="1">
      <alignment horizontal="center" wrapText="1"/>
    </xf>
    <xf numFmtId="0" fontId="2" fillId="6" borderId="31" xfId="0" applyFont="1" applyFill="1" applyBorder="1" applyAlignment="1">
      <alignment horizontal="center" wrapText="1"/>
    </xf>
    <xf numFmtId="3" fontId="2" fillId="6" borderId="31" xfId="0" applyNumberFormat="1" applyFont="1" applyFill="1" applyBorder="1" applyAlignment="1">
      <alignment horizontal="center"/>
    </xf>
    <xf numFmtId="0" fontId="2" fillId="6" borderId="31" xfId="0" applyFont="1" applyFill="1" applyBorder="1" applyAlignment="1">
      <alignment horizontal="left" wrapText="1"/>
    </xf>
    <xf numFmtId="0" fontId="2" fillId="6" borderId="32" xfId="0" applyFont="1" applyFill="1" applyBorder="1" applyAlignment="1">
      <alignment horizontal="left" wrapText="1"/>
    </xf>
    <xf numFmtId="0" fontId="10" fillId="2" borderId="15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3" fontId="0" fillId="0" borderId="3" xfId="0" applyNumberFormat="1" applyFont="1" applyFill="1" applyBorder="1" applyAlignment="1">
      <alignment horizontal="center" wrapText="1"/>
    </xf>
    <xf numFmtId="0" fontId="10" fillId="2" borderId="33" xfId="0" applyFont="1" applyFill="1" applyBorder="1" applyAlignment="1">
      <alignment horizontal="left" wrapText="1"/>
    </xf>
    <xf numFmtId="0" fontId="10" fillId="0" borderId="12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0" fillId="2" borderId="34" xfId="0" applyFont="1" applyFill="1" applyBorder="1" applyAlignment="1">
      <alignment horizontal="left" wrapText="1" indent="2"/>
    </xf>
    <xf numFmtId="0" fontId="10" fillId="2" borderId="35" xfId="0" applyFont="1" applyFill="1" applyBorder="1" applyAlignment="1">
      <alignment horizontal="left" wrapText="1" indent="2"/>
    </xf>
    <xf numFmtId="0" fontId="0" fillId="2" borderId="35" xfId="0" applyFill="1" applyBorder="1" applyAlignment="1">
      <alignment horizontal="left" wrapText="1" indent="2"/>
    </xf>
    <xf numFmtId="0" fontId="0" fillId="2" borderId="36" xfId="0" applyFont="1" applyFill="1" applyBorder="1" applyAlignment="1">
      <alignment horizontal="left" wrapText="1" indent="2"/>
    </xf>
    <xf numFmtId="0" fontId="0" fillId="2" borderId="37" xfId="0" applyFont="1" applyFill="1" applyBorder="1" applyAlignment="1">
      <alignment horizontal="left" wrapText="1" indent="2"/>
    </xf>
    <xf numFmtId="0" fontId="0" fillId="2" borderId="38" xfId="0" applyFill="1" applyBorder="1" applyAlignment="1">
      <alignment horizontal="left" wrapText="1" indent="2"/>
    </xf>
    <xf numFmtId="0" fontId="0" fillId="2" borderId="35" xfId="0" applyFont="1" applyFill="1" applyBorder="1" applyAlignment="1">
      <alignment horizontal="left" wrapText="1" indent="2"/>
    </xf>
    <xf numFmtId="0" fontId="10" fillId="2" borderId="38" xfId="0" applyFont="1" applyFill="1" applyBorder="1" applyAlignment="1">
      <alignment horizontal="left" wrapText="1" indent="2"/>
    </xf>
    <xf numFmtId="0" fontId="0" fillId="2" borderId="34" xfId="0" applyFont="1" applyFill="1" applyBorder="1" applyAlignment="1">
      <alignment horizontal="left" wrapText="1" indent="2"/>
    </xf>
    <xf numFmtId="0" fontId="0" fillId="2" borderId="39" xfId="0" applyFont="1" applyFill="1" applyBorder="1" applyAlignment="1">
      <alignment horizontal="left" wrapText="1" indent="2"/>
    </xf>
    <xf numFmtId="0" fontId="0" fillId="2" borderId="10" xfId="0" applyFont="1" applyFill="1" applyBorder="1" applyAlignment="1">
      <alignment horizontal="left" wrapText="1" indent="2"/>
    </xf>
    <xf numFmtId="0" fontId="0" fillId="2" borderId="40" xfId="0" applyFont="1" applyFill="1" applyBorder="1" applyAlignment="1">
      <alignment horizontal="left" wrapText="1" indent="2"/>
    </xf>
    <xf numFmtId="0" fontId="0" fillId="2" borderId="41" xfId="0" applyFill="1" applyBorder="1" applyAlignment="1">
      <alignment horizontal="left" indent="2"/>
    </xf>
    <xf numFmtId="0" fontId="2" fillId="2" borderId="42" xfId="0" applyFont="1" applyFill="1" applyBorder="1" applyAlignment="1">
      <alignment horizontal="left" wrapText="1"/>
    </xf>
    <xf numFmtId="0" fontId="2" fillId="2" borderId="36" xfId="0" applyFont="1" applyFill="1" applyBorder="1" applyAlignment="1">
      <alignment horizontal="left" wrapText="1"/>
    </xf>
    <xf numFmtId="0" fontId="2" fillId="2" borderId="43" xfId="0" applyFont="1" applyFill="1" applyBorder="1" applyAlignment="1">
      <alignment horizontal="left" wrapText="1"/>
    </xf>
    <xf numFmtId="0" fontId="9" fillId="2" borderId="42" xfId="0" applyFont="1" applyFill="1" applyBorder="1" applyAlignment="1">
      <alignment horizontal="left" wrapText="1"/>
    </xf>
    <xf numFmtId="0" fontId="2" fillId="2" borderId="34" xfId="0" applyFont="1" applyFill="1" applyBorder="1" applyAlignment="1">
      <alignment horizontal="left" wrapText="1"/>
    </xf>
    <xf numFmtId="0" fontId="9" fillId="2" borderId="24" xfId="0" applyFont="1" applyFill="1" applyBorder="1" applyAlignment="1">
      <alignment horizontal="left" wrapText="1"/>
    </xf>
    <xf numFmtId="0" fontId="2" fillId="7" borderId="18" xfId="0" applyFont="1" applyFill="1" applyBorder="1" applyAlignment="1">
      <alignment horizontal="left" wrapText="1"/>
    </xf>
    <xf numFmtId="3" fontId="2" fillId="7" borderId="18" xfId="15" applyNumberFormat="1" applyFont="1" applyFill="1" applyBorder="1" applyAlignment="1">
      <alignment horizontal="center"/>
    </xf>
    <xf numFmtId="3" fontId="2" fillId="7" borderId="1" xfId="15" applyNumberFormat="1" applyFont="1" applyFill="1" applyBorder="1" applyAlignment="1">
      <alignment horizontal="center"/>
    </xf>
    <xf numFmtId="3" fontId="0" fillId="7" borderId="15" xfId="0" applyNumberFormat="1" applyFill="1" applyBorder="1" applyAlignment="1">
      <alignment horizontal="center"/>
    </xf>
    <xf numFmtId="3" fontId="0" fillId="7" borderId="3" xfId="0" applyNumberFormat="1" applyFill="1" applyBorder="1" applyAlignment="1">
      <alignment horizontal="center"/>
    </xf>
    <xf numFmtId="0" fontId="0" fillId="7" borderId="29" xfId="0" applyFill="1" applyBorder="1" applyAlignment="1">
      <alignment horizontal="center" wrapText="1"/>
    </xf>
    <xf numFmtId="3" fontId="0" fillId="7" borderId="44" xfId="0" applyNumberFormat="1" applyFill="1" applyBorder="1" applyAlignment="1">
      <alignment horizontal="center"/>
    </xf>
    <xf numFmtId="3" fontId="0" fillId="7" borderId="6" xfId="0" applyNumberFormat="1" applyFill="1" applyBorder="1" applyAlignment="1">
      <alignment horizontal="center"/>
    </xf>
    <xf numFmtId="0" fontId="0" fillId="7" borderId="45" xfId="0" applyFill="1" applyBorder="1" applyAlignment="1">
      <alignment horizontal="center" wrapText="1"/>
    </xf>
    <xf numFmtId="0" fontId="0" fillId="7" borderId="7" xfId="0" applyFill="1" applyBorder="1" applyAlignment="1">
      <alignment horizontal="center" wrapText="1"/>
    </xf>
    <xf numFmtId="0" fontId="0" fillId="7" borderId="46" xfId="0" applyFill="1" applyBorder="1" applyAlignment="1">
      <alignment horizontal="center" wrapText="1"/>
    </xf>
    <xf numFmtId="0" fontId="0" fillId="7" borderId="47" xfId="0" applyFill="1" applyBorder="1" applyAlignment="1">
      <alignment horizontal="center" wrapText="1"/>
    </xf>
    <xf numFmtId="0" fontId="2" fillId="7" borderId="33" xfId="0" applyFont="1" applyFill="1" applyBorder="1" applyAlignment="1">
      <alignment horizontal="left" wrapText="1"/>
    </xf>
    <xf numFmtId="3" fontId="10" fillId="7" borderId="3" xfId="15" applyNumberFormat="1" applyFont="1" applyFill="1" applyBorder="1" applyAlignment="1">
      <alignment horizontal="center" wrapText="1"/>
    </xf>
    <xf numFmtId="3" fontId="10" fillId="7" borderId="3" xfId="15" applyNumberFormat="1" applyFont="1" applyFill="1" applyBorder="1" applyAlignment="1">
      <alignment horizontal="left" wrapText="1"/>
    </xf>
    <xf numFmtId="3" fontId="10" fillId="7" borderId="6" xfId="15" applyNumberFormat="1" applyFont="1" applyFill="1" applyBorder="1" applyAlignment="1">
      <alignment horizontal="center"/>
    </xf>
    <xf numFmtId="0" fontId="0" fillId="7" borderId="35" xfId="0" applyFill="1" applyBorder="1" applyAlignment="1">
      <alignment horizontal="left" wrapText="1"/>
    </xf>
    <xf numFmtId="0" fontId="2" fillId="7" borderId="24" xfId="0" applyFont="1" applyFill="1" applyBorder="1" applyAlignment="1">
      <alignment horizontal="left" wrapText="1"/>
    </xf>
    <xf numFmtId="3" fontId="2" fillId="7" borderId="25" xfId="15" applyNumberFormat="1" applyFont="1" applyFill="1" applyBorder="1" applyAlignment="1">
      <alignment horizontal="center"/>
    </xf>
    <xf numFmtId="0" fontId="0" fillId="7" borderId="48" xfId="0" applyFill="1" applyBorder="1" applyAlignment="1">
      <alignment horizontal="left" wrapText="1"/>
    </xf>
    <xf numFmtId="0" fontId="10" fillId="7" borderId="4" xfId="0" applyFont="1" applyFill="1" applyBorder="1" applyAlignment="1">
      <alignment horizontal="left" wrapText="1"/>
    </xf>
    <xf numFmtId="3" fontId="10" fillId="7" borderId="49" xfId="15" applyNumberFormat="1" applyFont="1" applyFill="1" applyBorder="1" applyAlignment="1">
      <alignment horizontal="center"/>
    </xf>
    <xf numFmtId="0" fontId="0" fillId="7" borderId="8" xfId="0" applyFill="1" applyBorder="1" applyAlignment="1">
      <alignment horizontal="left" wrapText="1"/>
    </xf>
    <xf numFmtId="3" fontId="10" fillId="7" borderId="4" xfId="15" applyNumberFormat="1" applyFont="1" applyFill="1" applyBorder="1" applyAlignment="1">
      <alignment horizontal="center"/>
    </xf>
    <xf numFmtId="0" fontId="10" fillId="7" borderId="13" xfId="0" applyFont="1" applyFill="1" applyBorder="1" applyAlignment="1">
      <alignment horizontal="left" wrapText="1"/>
    </xf>
    <xf numFmtId="0" fontId="0" fillId="7" borderId="13" xfId="0" applyFont="1" applyFill="1" applyBorder="1" applyAlignment="1">
      <alignment horizontal="left" wrapText="1"/>
    </xf>
    <xf numFmtId="3" fontId="0" fillId="7" borderId="8" xfId="0" applyNumberFormat="1" applyFill="1" applyBorder="1" applyAlignment="1">
      <alignment horizontal="center"/>
    </xf>
    <xf numFmtId="3" fontId="2" fillId="7" borderId="1" xfId="15" applyNumberFormat="1" applyFont="1" applyFill="1" applyBorder="1" applyAlignment="1">
      <alignment horizontal="center" wrapText="1"/>
    </xf>
    <xf numFmtId="3" fontId="0" fillId="7" borderId="6" xfId="15" applyNumberFormat="1" applyFont="1" applyFill="1" applyBorder="1" applyAlignment="1">
      <alignment horizontal="center" wrapText="1"/>
    </xf>
    <xf numFmtId="3" fontId="0" fillId="7" borderId="8" xfId="15" applyNumberFormat="1" applyFill="1" applyBorder="1" applyAlignment="1">
      <alignment horizontal="center" wrapText="1"/>
    </xf>
    <xf numFmtId="0" fontId="9" fillId="7" borderId="18" xfId="0" applyFont="1" applyFill="1" applyBorder="1" applyAlignment="1">
      <alignment horizontal="left" wrapText="1"/>
    </xf>
    <xf numFmtId="3" fontId="9" fillId="7" borderId="1" xfId="15" applyNumberFormat="1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left" wrapText="1"/>
    </xf>
    <xf numFmtId="0" fontId="10" fillId="7" borderId="3" xfId="0" applyFont="1" applyFill="1" applyBorder="1" applyAlignment="1">
      <alignment horizontal="left" wrapText="1"/>
    </xf>
    <xf numFmtId="0" fontId="10" fillId="7" borderId="15" xfId="0" applyFont="1" applyFill="1" applyBorder="1" applyAlignment="1">
      <alignment horizontal="center" wrapText="1"/>
    </xf>
    <xf numFmtId="3" fontId="10" fillId="7" borderId="6" xfId="15" applyNumberFormat="1" applyFont="1" applyFill="1" applyBorder="1" applyAlignment="1">
      <alignment horizontal="center" wrapText="1"/>
    </xf>
    <xf numFmtId="3" fontId="10" fillId="7" borderId="8" xfId="0" applyNumberFormat="1" applyFont="1" applyFill="1" applyBorder="1" applyAlignment="1">
      <alignment horizontal="center" wrapText="1"/>
    </xf>
    <xf numFmtId="0" fontId="10" fillId="7" borderId="50" xfId="0" applyFont="1" applyFill="1" applyBorder="1" applyAlignment="1">
      <alignment horizontal="left" wrapText="1"/>
    </xf>
    <xf numFmtId="3" fontId="10" fillId="7" borderId="3" xfId="0" applyNumberFormat="1" applyFont="1" applyFill="1" applyBorder="1" applyAlignment="1">
      <alignment horizontal="center" wrapText="1"/>
    </xf>
    <xf numFmtId="0" fontId="10" fillId="7" borderId="33" xfId="0" applyFont="1" applyFill="1" applyBorder="1" applyAlignment="1">
      <alignment horizontal="left" wrapText="1"/>
    </xf>
    <xf numFmtId="0" fontId="10" fillId="7" borderId="15" xfId="0" applyFont="1" applyFill="1" applyBorder="1" applyAlignment="1">
      <alignment horizontal="left" wrapText="1" indent="2"/>
    </xf>
    <xf numFmtId="0" fontId="0" fillId="7" borderId="15" xfId="0" applyFont="1" applyFill="1" applyBorder="1" applyAlignment="1">
      <alignment horizontal="left" wrapText="1" indent="2"/>
    </xf>
    <xf numFmtId="0" fontId="0" fillId="7" borderId="4" xfId="0" applyFill="1" applyBorder="1" applyAlignment="1">
      <alignment horizontal="left" wrapText="1"/>
    </xf>
    <xf numFmtId="3" fontId="10" fillId="7" borderId="7" xfId="15" applyNumberFormat="1" applyFont="1" applyFill="1" applyBorder="1" applyAlignment="1">
      <alignment horizontal="center"/>
    </xf>
    <xf numFmtId="3" fontId="10" fillId="7" borderId="13" xfId="15" applyNumberFormat="1" applyFont="1" applyFill="1" applyBorder="1" applyAlignment="1">
      <alignment horizontal="center"/>
    </xf>
    <xf numFmtId="3" fontId="10" fillId="7" borderId="25" xfId="15" applyNumberFormat="1" applyFont="1" applyFill="1" applyBorder="1" applyAlignment="1">
      <alignment horizontal="center"/>
    </xf>
    <xf numFmtId="3" fontId="10" fillId="7" borderId="18" xfId="0" applyNumberFormat="1" applyFont="1" applyFill="1" applyBorder="1" applyAlignment="1">
      <alignment horizontal="center"/>
    </xf>
    <xf numFmtId="3" fontId="10" fillId="7" borderId="15" xfId="0" applyNumberFormat="1" applyFont="1" applyFill="1" applyBorder="1" applyAlignment="1">
      <alignment horizontal="center"/>
    </xf>
    <xf numFmtId="0" fontId="2" fillId="7" borderId="51" xfId="0" applyFont="1" applyFill="1" applyBorder="1" applyAlignment="1">
      <alignment horizontal="left" wrapText="1"/>
    </xf>
    <xf numFmtId="3" fontId="10" fillId="7" borderId="3" xfId="0" applyNumberFormat="1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 wrapText="1"/>
    </xf>
    <xf numFmtId="0" fontId="0" fillId="7" borderId="15" xfId="0" applyFill="1" applyBorder="1" applyAlignment="1">
      <alignment horizontal="center" wrapText="1"/>
    </xf>
    <xf numFmtId="0" fontId="0" fillId="7" borderId="44" xfId="0" applyFill="1" applyBorder="1" applyAlignment="1">
      <alignment horizontal="center" wrapText="1"/>
    </xf>
    <xf numFmtId="0" fontId="10" fillId="7" borderId="44" xfId="0" applyFont="1" applyFill="1" applyBorder="1" applyAlignment="1">
      <alignment horizontal="center" wrapText="1"/>
    </xf>
    <xf numFmtId="0" fontId="0" fillId="7" borderId="52" xfId="0" applyFill="1" applyBorder="1" applyAlignment="1">
      <alignment horizontal="center" wrapText="1"/>
    </xf>
    <xf numFmtId="0" fontId="0" fillId="7" borderId="44" xfId="0" applyFont="1" applyFill="1" applyBorder="1" applyAlignment="1">
      <alignment horizontal="center" wrapText="1"/>
    </xf>
    <xf numFmtId="0" fontId="10" fillId="7" borderId="46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left" wrapText="1" indent="2"/>
    </xf>
    <xf numFmtId="9" fontId="3" fillId="2" borderId="10" xfId="0" applyNumberFormat="1" applyFont="1" applyFill="1" applyBorder="1" applyAlignment="1">
      <alignment horizontal="center" wrapText="1"/>
    </xf>
    <xf numFmtId="0" fontId="0" fillId="2" borderId="0" xfId="0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8" borderId="4" xfId="0" applyFill="1" applyBorder="1" applyAlignment="1">
      <alignment horizontal="center" wrapText="1"/>
    </xf>
    <xf numFmtId="0" fontId="0" fillId="8" borderId="13" xfId="0" applyFill="1" applyBorder="1" applyAlignment="1">
      <alignment horizontal="center" wrapText="1"/>
    </xf>
    <xf numFmtId="0" fontId="0" fillId="8" borderId="8" xfId="0" applyFill="1" applyBorder="1" applyAlignment="1">
      <alignment horizontal="center" wrapText="1"/>
    </xf>
    <xf numFmtId="0" fontId="2" fillId="2" borderId="53" xfId="0" applyFont="1" applyFill="1" applyBorder="1" applyAlignment="1">
      <alignment horizontal="left" wrapText="1"/>
    </xf>
    <xf numFmtId="3" fontId="10" fillId="2" borderId="4" xfId="15" applyNumberFormat="1" applyFont="1" applyFill="1" applyBorder="1" applyAlignment="1">
      <alignment horizontal="left" wrapText="1"/>
    </xf>
    <xf numFmtId="3" fontId="10" fillId="2" borderId="4" xfId="15" applyNumberFormat="1" applyFont="1" applyFill="1" applyBorder="1" applyAlignment="1">
      <alignment horizontal="center" wrapText="1"/>
    </xf>
    <xf numFmtId="0" fontId="0" fillId="2" borderId="13" xfId="0" applyFill="1" applyBorder="1" applyAlignment="1">
      <alignment horizontal="left" wrapText="1"/>
    </xf>
    <xf numFmtId="0" fontId="0" fillId="2" borderId="53" xfId="0" applyFill="1" applyBorder="1" applyAlignment="1">
      <alignment horizontal="left" wrapText="1"/>
    </xf>
    <xf numFmtId="0" fontId="10" fillId="2" borderId="8" xfId="0" applyFont="1" applyFill="1" applyBorder="1" applyAlignment="1">
      <alignment horizontal="left" wrapText="1"/>
    </xf>
    <xf numFmtId="0" fontId="10" fillId="2" borderId="27" xfId="0" applyFont="1" applyFill="1" applyBorder="1" applyAlignment="1">
      <alignment horizontal="left" wrapText="1"/>
    </xf>
    <xf numFmtId="0" fontId="10" fillId="2" borderId="53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0" fontId="0" fillId="7" borderId="54" xfId="0" applyFont="1" applyFill="1" applyBorder="1" applyAlignment="1">
      <alignment horizontal="left" wrapText="1" indent="2"/>
    </xf>
    <xf numFmtId="0" fontId="0" fillId="7" borderId="55" xfId="0" applyFont="1" applyFill="1" applyBorder="1" applyAlignment="1">
      <alignment horizontal="left" wrapText="1" indent="2"/>
    </xf>
    <xf numFmtId="0" fontId="0" fillId="7" borderId="56" xfId="0" applyFont="1" applyFill="1" applyBorder="1" applyAlignment="1">
      <alignment horizontal="left" wrapText="1" indent="2"/>
    </xf>
    <xf numFmtId="0" fontId="0" fillId="7" borderId="57" xfId="0" applyFill="1" applyBorder="1" applyAlignment="1">
      <alignment horizontal="left" indent="2"/>
    </xf>
    <xf numFmtId="0" fontId="10" fillId="7" borderId="56" xfId="0" applyFont="1" applyFill="1" applyBorder="1" applyAlignment="1">
      <alignment horizontal="left" wrapText="1" indent="2"/>
    </xf>
    <xf numFmtId="0" fontId="10" fillId="7" borderId="58" xfId="0" applyFont="1" applyFill="1" applyBorder="1" applyAlignment="1">
      <alignment horizontal="left" wrapText="1" indent="2"/>
    </xf>
    <xf numFmtId="0" fontId="0" fillId="7" borderId="58" xfId="0" applyFill="1" applyBorder="1" applyAlignment="1">
      <alignment horizontal="left" wrapText="1" indent="2"/>
    </xf>
    <xf numFmtId="0" fontId="0" fillId="7" borderId="56" xfId="0" applyFill="1" applyBorder="1" applyAlignment="1">
      <alignment horizontal="left" indent="2"/>
    </xf>
    <xf numFmtId="0" fontId="0" fillId="7" borderId="59" xfId="0" applyFill="1" applyBorder="1" applyAlignment="1">
      <alignment horizontal="left" wrapText="1" indent="2"/>
    </xf>
    <xf numFmtId="0" fontId="0" fillId="7" borderId="58" xfId="0" applyFont="1" applyFill="1" applyBorder="1" applyAlignment="1">
      <alignment horizontal="left" wrapText="1" indent="2"/>
    </xf>
    <xf numFmtId="0" fontId="0" fillId="7" borderId="57" xfId="0" applyFill="1" applyBorder="1" applyAlignment="1">
      <alignment horizontal="left" wrapText="1" indent="2"/>
    </xf>
    <xf numFmtId="0" fontId="10" fillId="7" borderId="57" xfId="0" applyFont="1" applyFill="1" applyBorder="1" applyAlignment="1">
      <alignment horizontal="left" wrapText="1" indent="2"/>
    </xf>
    <xf numFmtId="0" fontId="0" fillId="7" borderId="59" xfId="0" applyFont="1" applyFill="1" applyBorder="1" applyAlignment="1">
      <alignment horizontal="left" wrapText="1" indent="2"/>
    </xf>
    <xf numFmtId="0" fontId="10" fillId="7" borderId="1" xfId="0" applyFont="1" applyFill="1" applyBorder="1" applyAlignment="1">
      <alignment horizontal="center" wrapText="1"/>
    </xf>
    <xf numFmtId="0" fontId="0" fillId="7" borderId="60" xfId="0" applyFont="1" applyFill="1" applyBorder="1" applyAlignment="1">
      <alignment horizontal="left" wrapText="1"/>
    </xf>
    <xf numFmtId="0" fontId="0" fillId="2" borderId="61" xfId="0" applyFont="1" applyFill="1" applyBorder="1" applyAlignment="1">
      <alignment horizontal="center"/>
    </xf>
    <xf numFmtId="0" fontId="9" fillId="7" borderId="62" xfId="0" applyFont="1" applyFill="1" applyBorder="1" applyAlignment="1">
      <alignment horizontal="left" wrapText="1"/>
    </xf>
    <xf numFmtId="0" fontId="2" fillId="7" borderId="62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9" fillId="2" borderId="62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2" borderId="63" xfId="0" applyFont="1" applyFill="1" applyBorder="1" applyAlignment="1">
      <alignment horizontal="left" wrapText="1"/>
    </xf>
    <xf numFmtId="0" fontId="2" fillId="2" borderId="62" xfId="0" applyFont="1" applyFill="1" applyBorder="1" applyAlignment="1">
      <alignment horizontal="left" wrapText="1"/>
    </xf>
    <xf numFmtId="0" fontId="2" fillId="7" borderId="64" xfId="0" applyFont="1" applyFill="1" applyBorder="1" applyAlignment="1">
      <alignment horizontal="left" wrapText="1"/>
    </xf>
    <xf numFmtId="0" fontId="0" fillId="4" borderId="25" xfId="0" applyFill="1" applyBorder="1" applyAlignment="1">
      <alignment/>
    </xf>
    <xf numFmtId="0" fontId="0" fillId="4" borderId="3" xfId="0" applyFill="1" applyBorder="1" applyAlignment="1">
      <alignment/>
    </xf>
    <xf numFmtId="0" fontId="10" fillId="2" borderId="61" xfId="0" applyFont="1" applyFill="1" applyBorder="1" applyAlignment="1">
      <alignment horizontal="left" wrapText="1" indent="2"/>
    </xf>
    <xf numFmtId="0" fontId="0" fillId="8" borderId="33" xfId="0" applyFont="1" applyFill="1" applyBorder="1" applyAlignment="1">
      <alignment horizontal="left" wrapText="1"/>
    </xf>
    <xf numFmtId="2" fontId="2" fillId="9" borderId="65" xfId="0" applyNumberFormat="1" applyFont="1" applyFill="1" applyBorder="1" applyAlignment="1">
      <alignment horizontal="center" wrapText="1"/>
    </xf>
    <xf numFmtId="2" fontId="0" fillId="9" borderId="66" xfId="0" applyNumberFormat="1" applyFill="1" applyBorder="1" applyAlignment="1">
      <alignment wrapText="1"/>
    </xf>
    <xf numFmtId="2" fontId="0" fillId="9" borderId="67" xfId="0" applyNumberFormat="1" applyFill="1" applyBorder="1" applyAlignment="1">
      <alignment wrapText="1"/>
    </xf>
    <xf numFmtId="9" fontId="3" fillId="9" borderId="68" xfId="0" applyNumberFormat="1" applyFont="1" applyFill="1" applyBorder="1" applyAlignment="1">
      <alignment horizontal="center" wrapText="1"/>
    </xf>
    <xf numFmtId="0" fontId="0" fillId="9" borderId="69" xfId="0" applyFill="1" applyBorder="1" applyAlignment="1">
      <alignment/>
    </xf>
    <xf numFmtId="0" fontId="0" fillId="9" borderId="70" xfId="0" applyFill="1" applyBorder="1" applyAlignment="1">
      <alignment/>
    </xf>
    <xf numFmtId="2" fontId="2" fillId="10" borderId="65" xfId="0" applyNumberFormat="1" applyFont="1" applyFill="1" applyBorder="1" applyAlignment="1">
      <alignment horizontal="center" wrapText="1"/>
    </xf>
    <xf numFmtId="2" fontId="0" fillId="10" borderId="66" xfId="0" applyNumberFormat="1" applyFill="1" applyBorder="1" applyAlignment="1">
      <alignment wrapText="1"/>
    </xf>
    <xf numFmtId="2" fontId="0" fillId="10" borderId="67" xfId="0" applyNumberFormat="1" applyFill="1" applyBorder="1" applyAlignment="1">
      <alignment wrapText="1"/>
    </xf>
    <xf numFmtId="9" fontId="3" fillId="10" borderId="68" xfId="0" applyNumberFormat="1" applyFont="1" applyFill="1" applyBorder="1" applyAlignment="1">
      <alignment horizontal="center" wrapText="1"/>
    </xf>
    <xf numFmtId="0" fontId="0" fillId="10" borderId="69" xfId="0" applyFill="1" applyBorder="1" applyAlignment="1">
      <alignment/>
    </xf>
    <xf numFmtId="0" fontId="0" fillId="10" borderId="70" xfId="0" applyFill="1" applyBorder="1" applyAlignment="1">
      <alignment/>
    </xf>
    <xf numFmtId="0" fontId="0" fillId="7" borderId="71" xfId="0" applyFill="1" applyBorder="1" applyAlignment="1">
      <alignment horizontal="right"/>
    </xf>
    <xf numFmtId="0" fontId="0" fillId="7" borderId="0" xfId="0" applyFill="1" applyBorder="1" applyAlignment="1">
      <alignment horizontal="right"/>
    </xf>
    <xf numFmtId="0" fontId="3" fillId="7" borderId="0" xfId="0" applyFont="1" applyFill="1" applyBorder="1" applyAlignment="1">
      <alignment horizontal="center"/>
    </xf>
    <xf numFmtId="0" fontId="0" fillId="7" borderId="0" xfId="0" applyFill="1" applyBorder="1" applyAlignment="1">
      <alignment/>
    </xf>
    <xf numFmtId="0" fontId="0" fillId="7" borderId="20" xfId="0" applyFill="1" applyBorder="1" applyAlignment="1">
      <alignment/>
    </xf>
    <xf numFmtId="3" fontId="0" fillId="2" borderId="4" xfId="0" applyNumberFormat="1" applyFill="1" applyBorder="1" applyAlignment="1">
      <alignment horizontal="center"/>
    </xf>
    <xf numFmtId="3" fontId="0" fillId="2" borderId="13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0" fillId="2" borderId="13" xfId="15" applyNumberFormat="1" applyFont="1" applyFill="1" applyBorder="1" applyAlignment="1">
      <alignment horizontal="center"/>
    </xf>
    <xf numFmtId="3" fontId="10" fillId="2" borderId="13" xfId="15" applyNumberFormat="1" applyFont="1" applyFill="1" applyBorder="1" applyAlignment="1">
      <alignment horizontal="center"/>
    </xf>
    <xf numFmtId="3" fontId="0" fillId="2" borderId="13" xfId="15" applyNumberFormat="1" applyFont="1" applyFill="1" applyBorder="1" applyAlignment="1">
      <alignment horizontal="center" wrapText="1"/>
    </xf>
    <xf numFmtId="3" fontId="0" fillId="2" borderId="8" xfId="15" applyNumberFormat="1" applyFill="1" applyBorder="1" applyAlignment="1">
      <alignment horizontal="center" wrapText="1"/>
    </xf>
    <xf numFmtId="0" fontId="10" fillId="2" borderId="34" xfId="0" applyFont="1" applyFill="1" applyBorder="1" applyAlignment="1">
      <alignment horizontal="center" wrapText="1"/>
    </xf>
    <xf numFmtId="3" fontId="10" fillId="2" borderId="13" xfId="15" applyNumberFormat="1" applyFont="1" applyFill="1" applyBorder="1" applyAlignment="1">
      <alignment horizontal="center" wrapText="1"/>
    </xf>
    <xf numFmtId="3" fontId="10" fillId="2" borderId="8" xfId="0" applyNumberFormat="1" applyFont="1" applyFill="1" applyBorder="1" applyAlignment="1">
      <alignment horizontal="center" wrapText="1"/>
    </xf>
    <xf numFmtId="3" fontId="10" fillId="2" borderId="4" xfId="0" applyNumberFormat="1" applyFont="1" applyFill="1" applyBorder="1" applyAlignment="1">
      <alignment horizontal="center" wrapText="1"/>
    </xf>
    <xf numFmtId="3" fontId="0" fillId="2" borderId="34" xfId="0" applyNumberFormat="1" applyFill="1" applyBorder="1" applyAlignment="1">
      <alignment horizontal="center"/>
    </xf>
    <xf numFmtId="3" fontId="10" fillId="2" borderId="42" xfId="0" applyNumberFormat="1" applyFont="1" applyFill="1" applyBorder="1" applyAlignment="1">
      <alignment horizontal="center"/>
    </xf>
    <xf numFmtId="3" fontId="10" fillId="2" borderId="34" xfId="0" applyNumberFormat="1" applyFont="1" applyFill="1" applyBorder="1" applyAlignment="1">
      <alignment horizontal="center"/>
    </xf>
    <xf numFmtId="3" fontId="2" fillId="4" borderId="4" xfId="0" applyNumberFormat="1" applyFont="1" applyFill="1" applyBorder="1" applyAlignment="1">
      <alignment horizontal="center"/>
    </xf>
    <xf numFmtId="3" fontId="0" fillId="2" borderId="8" xfId="15" applyNumberFormat="1" applyFont="1" applyFill="1" applyBorder="1" applyAlignment="1">
      <alignment horizontal="center"/>
    </xf>
    <xf numFmtId="3" fontId="0" fillId="2" borderId="7" xfId="15" applyNumberFormat="1" applyFont="1" applyFill="1" applyBorder="1" applyAlignment="1">
      <alignment horizontal="center"/>
    </xf>
    <xf numFmtId="3" fontId="0" fillId="2" borderId="4" xfId="15" applyNumberFormat="1" applyFont="1" applyFill="1" applyBorder="1" applyAlignment="1">
      <alignment horizontal="center" wrapText="1"/>
    </xf>
    <xf numFmtId="3" fontId="0" fillId="2" borderId="3" xfId="15" applyNumberFormat="1" applyFont="1" applyFill="1" applyBorder="1" applyAlignment="1">
      <alignment horizontal="center" wrapText="1"/>
    </xf>
    <xf numFmtId="3" fontId="0" fillId="2" borderId="38" xfId="0" applyNumberForma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/>
    </xf>
    <xf numFmtId="3" fontId="10" fillId="2" borderId="33" xfId="15" applyNumberFormat="1" applyFont="1" applyFill="1" applyBorder="1" applyAlignment="1">
      <alignment horizontal="center" wrapText="1"/>
    </xf>
    <xf numFmtId="3" fontId="0" fillId="7" borderId="1" xfId="0" applyNumberFormat="1" applyFill="1" applyBorder="1" applyAlignment="1">
      <alignment horizontal="center"/>
    </xf>
    <xf numFmtId="3" fontId="10" fillId="7" borderId="1" xfId="15" applyNumberFormat="1" applyFont="1" applyFill="1" applyBorder="1" applyAlignment="1">
      <alignment horizontal="center" wrapText="1"/>
    </xf>
    <xf numFmtId="3" fontId="10" fillId="7" borderId="8" xfId="15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left"/>
    </xf>
    <xf numFmtId="0" fontId="0" fillId="4" borderId="15" xfId="0" applyFill="1" applyBorder="1" applyAlignment="1">
      <alignment horizontal="left"/>
    </xf>
    <xf numFmtId="3" fontId="2" fillId="4" borderId="34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 wrapText="1"/>
    </xf>
    <xf numFmtId="3" fontId="2" fillId="4" borderId="15" xfId="0" applyNumberFormat="1" applyFont="1" applyFill="1" applyBorder="1" applyAlignment="1">
      <alignment horizontal="center"/>
    </xf>
    <xf numFmtId="3" fontId="2" fillId="4" borderId="72" xfId="0" applyNumberFormat="1" applyFont="1" applyFill="1" applyBorder="1" applyAlignment="1">
      <alignment horizontal="center"/>
    </xf>
    <xf numFmtId="3" fontId="2" fillId="4" borderId="73" xfId="0" applyNumberFormat="1" applyFont="1" applyFill="1" applyBorder="1" applyAlignment="1">
      <alignment horizontal="center"/>
    </xf>
    <xf numFmtId="0" fontId="3" fillId="4" borderId="74" xfId="0" applyFont="1" applyFill="1" applyBorder="1" applyAlignment="1">
      <alignment horizontal="left" wrapText="1"/>
    </xf>
    <xf numFmtId="0" fontId="3" fillId="4" borderId="75" xfId="0" applyFont="1" applyFill="1" applyBorder="1" applyAlignment="1">
      <alignment horizontal="right" wrapText="1"/>
    </xf>
    <xf numFmtId="0" fontId="3" fillId="4" borderId="61" xfId="0" applyFont="1" applyFill="1" applyBorder="1" applyAlignment="1">
      <alignment horizontal="right" wrapText="1"/>
    </xf>
    <xf numFmtId="0" fontId="3" fillId="4" borderId="56" xfId="0" applyFont="1" applyFill="1" applyBorder="1" applyAlignment="1">
      <alignment horizontal="right" wrapText="1"/>
    </xf>
    <xf numFmtId="0" fontId="3" fillId="4" borderId="25" xfId="0" applyFont="1" applyFill="1" applyBorder="1" applyAlignment="1">
      <alignment horizontal="left" wrapText="1"/>
    </xf>
    <xf numFmtId="0" fontId="0" fillId="4" borderId="15" xfId="0" applyFill="1" applyBorder="1" applyAlignment="1">
      <alignment/>
    </xf>
    <xf numFmtId="0" fontId="1" fillId="4" borderId="34" xfId="0" applyFont="1" applyFill="1" applyBorder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 wrapText="1"/>
    </xf>
    <xf numFmtId="0" fontId="0" fillId="2" borderId="76" xfId="0" applyFill="1" applyBorder="1" applyAlignment="1">
      <alignment/>
    </xf>
    <xf numFmtId="0" fontId="0" fillId="2" borderId="77" xfId="0" applyFill="1" applyBorder="1" applyAlignment="1">
      <alignment horizontal="center" wrapText="1"/>
    </xf>
    <xf numFmtId="171" fontId="0" fillId="2" borderId="77" xfId="15" applyNumberFormat="1" applyFont="1" applyFill="1" applyBorder="1" applyAlignment="1">
      <alignment horizontal="center"/>
    </xf>
    <xf numFmtId="171" fontId="0" fillId="2" borderId="7" xfId="15" applyNumberFormat="1" applyFont="1" applyFill="1" applyBorder="1" applyAlignment="1">
      <alignment horizontal="center"/>
    </xf>
    <xf numFmtId="0" fontId="0" fillId="2" borderId="78" xfId="0" applyFill="1" applyBorder="1" applyAlignment="1">
      <alignment horizontal="left" wrapText="1"/>
    </xf>
    <xf numFmtId="0" fontId="10" fillId="2" borderId="41" xfId="0" applyFont="1" applyFill="1" applyBorder="1" applyAlignment="1">
      <alignment horizontal="left" wrapText="1" indent="2"/>
    </xf>
    <xf numFmtId="0" fontId="0" fillId="0" borderId="11" xfId="0" applyFont="1" applyBorder="1" applyAlignment="1">
      <alignment horizontal="left" wrapText="1" indent="2"/>
    </xf>
    <xf numFmtId="14" fontId="12" fillId="3" borderId="5" xfId="0" applyNumberFormat="1" applyFont="1" applyFill="1" applyBorder="1" applyAlignment="1">
      <alignment horizontal="left" wrapText="1"/>
    </xf>
    <xf numFmtId="0" fontId="10" fillId="7" borderId="13" xfId="0" applyFont="1" applyFill="1" applyBorder="1" applyAlignment="1">
      <alignment horizontal="center" wrapText="1"/>
    </xf>
    <xf numFmtId="0" fontId="0" fillId="3" borderId="11" xfId="0" applyFill="1" applyBorder="1" applyAlignment="1">
      <alignment horizontal="left" wrapText="1"/>
    </xf>
    <xf numFmtId="3" fontId="10" fillId="7" borderId="13" xfId="15" applyNumberFormat="1" applyFont="1" applyFill="1" applyBorder="1" applyAlignment="1">
      <alignment horizontal="center" wrapText="1"/>
    </xf>
    <xf numFmtId="3" fontId="10" fillId="2" borderId="15" xfId="15" applyNumberFormat="1" applyFont="1" applyFill="1" applyBorder="1" applyAlignment="1">
      <alignment horizontal="center" wrapText="1"/>
    </xf>
    <xf numFmtId="3" fontId="10" fillId="2" borderId="34" xfId="15" applyNumberFormat="1" applyFont="1" applyFill="1" applyBorder="1" applyAlignment="1">
      <alignment horizontal="center" wrapText="1"/>
    </xf>
    <xf numFmtId="3" fontId="10" fillId="7" borderId="15" xfId="15" applyNumberFormat="1" applyFont="1" applyFill="1" applyBorder="1" applyAlignment="1">
      <alignment horizontal="center" wrapText="1"/>
    </xf>
    <xf numFmtId="0" fontId="10" fillId="2" borderId="53" xfId="0" applyFont="1" applyFill="1" applyBorder="1" applyAlignment="1">
      <alignment horizontal="left" wrapText="1"/>
    </xf>
    <xf numFmtId="0" fontId="10" fillId="7" borderId="27" xfId="0" applyFont="1" applyFill="1" applyBorder="1" applyAlignment="1">
      <alignment horizontal="left" wrapText="1"/>
    </xf>
    <xf numFmtId="0" fontId="10" fillId="2" borderId="34" xfId="0" applyFont="1" applyFill="1" applyBorder="1" applyAlignment="1">
      <alignment horizontal="left" wrapText="1" indent="2"/>
    </xf>
    <xf numFmtId="0" fontId="10" fillId="2" borderId="6" xfId="0" applyFont="1" applyFill="1" applyBorder="1" applyAlignment="1">
      <alignment horizontal="center" wrapText="1"/>
    </xf>
    <xf numFmtId="3" fontId="10" fillId="2" borderId="6" xfId="15" applyNumberFormat="1" applyFont="1" applyFill="1" applyBorder="1" applyAlignment="1">
      <alignment horizontal="center"/>
    </xf>
    <xf numFmtId="3" fontId="10" fillId="2" borderId="13" xfId="15" applyNumberFormat="1" applyFont="1" applyFill="1" applyBorder="1" applyAlignment="1">
      <alignment horizontal="center"/>
    </xf>
    <xf numFmtId="0" fontId="10" fillId="2" borderId="13" xfId="0" applyFont="1" applyFill="1" applyBorder="1" applyAlignment="1">
      <alignment horizontal="left" wrapText="1"/>
    </xf>
    <xf numFmtId="0" fontId="10" fillId="7" borderId="44" xfId="0" applyFont="1" applyFill="1" applyBorder="1" applyAlignment="1">
      <alignment horizontal="center" wrapText="1"/>
    </xf>
    <xf numFmtId="3" fontId="10" fillId="7" borderId="4" xfId="15" applyNumberFormat="1" applyFont="1" applyFill="1" applyBorder="1" applyAlignment="1">
      <alignment horizontal="center"/>
    </xf>
    <xf numFmtId="0" fontId="10" fillId="7" borderId="13" xfId="0" applyFont="1" applyFill="1" applyBorder="1" applyAlignment="1">
      <alignment horizontal="left" wrapText="1"/>
    </xf>
    <xf numFmtId="3" fontId="10" fillId="7" borderId="6" xfId="15" applyNumberFormat="1" applyFont="1" applyFill="1" applyBorder="1" applyAlignment="1">
      <alignment horizontal="center"/>
    </xf>
    <xf numFmtId="3" fontId="10" fillId="2" borderId="6" xfId="0" applyNumberFormat="1" applyFont="1" applyFill="1" applyBorder="1" applyAlignment="1">
      <alignment horizontal="center"/>
    </xf>
    <xf numFmtId="3" fontId="10" fillId="2" borderId="13" xfId="0" applyNumberFormat="1" applyFont="1" applyFill="1" applyBorder="1" applyAlignment="1">
      <alignment horizontal="center"/>
    </xf>
    <xf numFmtId="0" fontId="10" fillId="2" borderId="37" xfId="0" applyFont="1" applyFill="1" applyBorder="1" applyAlignment="1">
      <alignment horizontal="left" wrapText="1" indent="2"/>
    </xf>
    <xf numFmtId="3" fontId="10" fillId="2" borderId="6" xfId="15" applyNumberFormat="1" applyFont="1" applyFill="1" applyBorder="1" applyAlignment="1">
      <alignment horizontal="center" wrapText="1"/>
    </xf>
    <xf numFmtId="3" fontId="10" fillId="2" borderId="13" xfId="15" applyNumberFormat="1" applyFont="1" applyFill="1" applyBorder="1" applyAlignment="1">
      <alignment horizontal="center" wrapText="1"/>
    </xf>
    <xf numFmtId="0" fontId="10" fillId="2" borderId="35" xfId="0" applyFont="1" applyFill="1" applyBorder="1" applyAlignment="1">
      <alignment horizontal="left" wrapText="1" indent="2"/>
    </xf>
    <xf numFmtId="3" fontId="10" fillId="7" borderId="13" xfId="15" applyNumberFormat="1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7" borderId="18" xfId="0" applyFont="1" applyFill="1" applyBorder="1" applyAlignment="1">
      <alignment horizontal="center" wrapText="1"/>
    </xf>
    <xf numFmtId="0" fontId="10" fillId="7" borderId="3" xfId="15" applyNumberFormat="1" applyFont="1" applyFill="1" applyBorder="1" applyAlignment="1">
      <alignment horizontal="center" wrapText="1"/>
    </xf>
    <xf numFmtId="0" fontId="10" fillId="7" borderId="15" xfId="15" applyNumberFormat="1" applyFont="1" applyFill="1" applyBorder="1" applyAlignment="1">
      <alignment horizontal="center" wrapText="1"/>
    </xf>
    <xf numFmtId="0" fontId="10" fillId="7" borderId="15" xfId="0" applyNumberFormat="1" applyFont="1" applyFill="1" applyBorder="1" applyAlignment="1">
      <alignment horizontal="center" wrapText="1"/>
    </xf>
    <xf numFmtId="0" fontId="10" fillId="7" borderId="6" xfId="15" applyNumberFormat="1" applyFont="1" applyFill="1" applyBorder="1" applyAlignment="1">
      <alignment horizontal="center" wrapText="1"/>
    </xf>
    <xf numFmtId="0" fontId="10" fillId="7" borderId="13" xfId="15" applyNumberFormat="1" applyFont="1" applyFill="1" applyBorder="1" applyAlignment="1">
      <alignment horizontal="center" wrapText="1"/>
    </xf>
    <xf numFmtId="0" fontId="2" fillId="7" borderId="1" xfId="15" applyNumberFormat="1" applyFont="1" applyFill="1" applyBorder="1" applyAlignment="1">
      <alignment horizontal="center"/>
    </xf>
    <xf numFmtId="0" fontId="0" fillId="7" borderId="3" xfId="0" applyNumberFormat="1" applyFill="1" applyBorder="1" applyAlignment="1">
      <alignment horizontal="center"/>
    </xf>
    <xf numFmtId="0" fontId="0" fillId="7" borderId="6" xfId="0" applyNumberFormat="1" applyFill="1" applyBorder="1" applyAlignment="1">
      <alignment horizontal="center"/>
    </xf>
    <xf numFmtId="0" fontId="0" fillId="7" borderId="7" xfId="0" applyNumberFormat="1" applyFill="1" applyBorder="1" applyAlignment="1">
      <alignment horizontal="center" wrapText="1"/>
    </xf>
    <xf numFmtId="0" fontId="10" fillId="7" borderId="6" xfId="15" applyNumberFormat="1" applyFont="1" applyFill="1" applyBorder="1" applyAlignment="1">
      <alignment horizontal="center"/>
    </xf>
    <xf numFmtId="0" fontId="2" fillId="7" borderId="25" xfId="15" applyNumberFormat="1" applyFont="1" applyFill="1" applyBorder="1" applyAlignment="1">
      <alignment horizontal="center"/>
    </xf>
    <xf numFmtId="0" fontId="10" fillId="7" borderId="1" xfId="0" applyNumberFormat="1" applyFont="1" applyFill="1" applyBorder="1" applyAlignment="1">
      <alignment horizontal="center" wrapText="1"/>
    </xf>
    <xf numFmtId="0" fontId="10" fillId="7" borderId="49" xfId="15" applyNumberFormat="1" applyFont="1" applyFill="1" applyBorder="1" applyAlignment="1">
      <alignment horizontal="center"/>
    </xf>
    <xf numFmtId="0" fontId="10" fillId="7" borderId="4" xfId="15" applyNumberFormat="1" applyFont="1" applyFill="1" applyBorder="1" applyAlignment="1">
      <alignment horizontal="center"/>
    </xf>
    <xf numFmtId="0" fontId="0" fillId="7" borderId="8" xfId="0" applyNumberFormat="1" applyFill="1" applyBorder="1" applyAlignment="1">
      <alignment horizontal="center"/>
    </xf>
    <xf numFmtId="0" fontId="2" fillId="7" borderId="1" xfId="15" applyNumberFormat="1" applyFont="1" applyFill="1" applyBorder="1" applyAlignment="1">
      <alignment horizontal="center" wrapText="1"/>
    </xf>
    <xf numFmtId="0" fontId="0" fillId="7" borderId="6" xfId="15" applyNumberFormat="1" applyFont="1" applyFill="1" applyBorder="1" applyAlignment="1">
      <alignment horizontal="center" wrapText="1"/>
    </xf>
    <xf numFmtId="0" fontId="0" fillId="7" borderId="8" xfId="15" applyNumberFormat="1" applyFill="1" applyBorder="1" applyAlignment="1">
      <alignment horizontal="center" wrapText="1"/>
    </xf>
    <xf numFmtId="0" fontId="9" fillId="7" borderId="1" xfId="15" applyNumberFormat="1" applyFont="1" applyFill="1" applyBorder="1" applyAlignment="1">
      <alignment horizontal="center" wrapText="1"/>
    </xf>
    <xf numFmtId="0" fontId="10" fillId="7" borderId="13" xfId="15" applyNumberFormat="1" applyFont="1" applyFill="1" applyBorder="1" applyAlignment="1">
      <alignment horizontal="center"/>
    </xf>
    <xf numFmtId="0" fontId="10" fillId="7" borderId="8" xfId="0" applyNumberFormat="1" applyFont="1" applyFill="1" applyBorder="1" applyAlignment="1">
      <alignment horizontal="center" wrapText="1"/>
    </xf>
    <xf numFmtId="0" fontId="10" fillId="7" borderId="3" xfId="0" applyNumberFormat="1" applyFont="1" applyFill="1" applyBorder="1" applyAlignment="1">
      <alignment horizontal="center" wrapText="1"/>
    </xf>
    <xf numFmtId="0" fontId="0" fillId="7" borderId="15" xfId="0" applyNumberFormat="1" applyFill="1" applyBorder="1" applyAlignment="1">
      <alignment horizontal="center"/>
    </xf>
    <xf numFmtId="0" fontId="10" fillId="7" borderId="25" xfId="15" applyNumberFormat="1" applyFont="1" applyFill="1" applyBorder="1" applyAlignment="1">
      <alignment horizontal="center"/>
    </xf>
    <xf numFmtId="0" fontId="10" fillId="7" borderId="15" xfId="0" applyNumberFormat="1" applyFont="1" applyFill="1" applyBorder="1" applyAlignment="1">
      <alignment horizontal="center"/>
    </xf>
    <xf numFmtId="0" fontId="10" fillId="7" borderId="3" xfId="0" applyNumberFormat="1" applyFont="1" applyFill="1" applyBorder="1" applyAlignment="1">
      <alignment horizontal="center"/>
    </xf>
    <xf numFmtId="171" fontId="10" fillId="7" borderId="3" xfId="0" applyNumberFormat="1" applyFont="1" applyFill="1" applyBorder="1" applyAlignment="1">
      <alignment horizontal="center" wrapText="1"/>
    </xf>
    <xf numFmtId="171" fontId="0" fillId="7" borderId="15" xfId="0" applyNumberFormat="1" applyFill="1" applyBorder="1" applyAlignment="1">
      <alignment horizontal="center"/>
    </xf>
    <xf numFmtId="3" fontId="0" fillId="7" borderId="13" xfId="15" applyNumberFormat="1" applyFont="1" applyFill="1" applyBorder="1" applyAlignment="1">
      <alignment horizontal="center" wrapText="1"/>
    </xf>
    <xf numFmtId="3" fontId="0" fillId="7" borderId="4" xfId="15" applyNumberFormat="1" applyFont="1" applyFill="1" applyBorder="1" applyAlignment="1">
      <alignment horizontal="center" wrapText="1"/>
    </xf>
    <xf numFmtId="0" fontId="0" fillId="7" borderId="0" xfId="0" applyNumberFormat="1" applyFill="1" applyAlignment="1">
      <alignment horizontal="center"/>
    </xf>
    <xf numFmtId="3" fontId="0" fillId="2" borderId="16" xfId="0" applyNumberFormat="1" applyFill="1" applyBorder="1" applyAlignment="1">
      <alignment horizontal="center"/>
    </xf>
    <xf numFmtId="3" fontId="0" fillId="2" borderId="39" xfId="0" applyNumberFormat="1" applyFill="1" applyBorder="1" applyAlignment="1">
      <alignment horizontal="center"/>
    </xf>
    <xf numFmtId="3" fontId="0" fillId="2" borderId="44" xfId="0" applyNumberFormat="1" applyFill="1" applyBorder="1" applyAlignment="1">
      <alignment horizontal="center"/>
    </xf>
    <xf numFmtId="3" fontId="0" fillId="2" borderId="35" xfId="0" applyNumberFormat="1" applyFill="1" applyBorder="1" applyAlignment="1">
      <alignment horizontal="center"/>
    </xf>
    <xf numFmtId="3" fontId="0" fillId="7" borderId="35" xfId="0" applyNumberFormat="1" applyFill="1" applyBorder="1" applyAlignment="1">
      <alignment horizontal="center"/>
    </xf>
    <xf numFmtId="0" fontId="0" fillId="7" borderId="13" xfId="0" applyFill="1" applyBorder="1" applyAlignment="1">
      <alignment horizontal="left" wrapText="1"/>
    </xf>
    <xf numFmtId="0" fontId="0" fillId="7" borderId="61" xfId="0" applyFont="1" applyFill="1" applyBorder="1" applyAlignment="1">
      <alignment horizontal="left" wrapText="1" indent="2"/>
    </xf>
    <xf numFmtId="0" fontId="0" fillId="7" borderId="44" xfId="0" applyNumberFormat="1" applyFill="1" applyBorder="1" applyAlignment="1">
      <alignment horizontal="center"/>
    </xf>
    <xf numFmtId="171" fontId="10" fillId="2" borderId="18" xfId="0" applyNumberFormat="1" applyFont="1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171" fontId="0" fillId="2" borderId="15" xfId="0" applyNumberFormat="1" applyFill="1" applyBorder="1" applyAlignment="1">
      <alignment horizontal="center"/>
    </xf>
    <xf numFmtId="4" fontId="9" fillId="2" borderId="1" xfId="15" applyNumberFormat="1" applyFont="1" applyFill="1" applyBorder="1" applyAlignment="1">
      <alignment horizontal="center" wrapText="1"/>
    </xf>
    <xf numFmtId="171" fontId="0" fillId="2" borderId="3" xfId="0" applyNumberFormat="1" applyFill="1" applyBorder="1" applyAlignment="1">
      <alignment horizontal="center"/>
    </xf>
    <xf numFmtId="171" fontId="9" fillId="2" borderId="1" xfId="15" applyNumberFormat="1" applyFont="1" applyFill="1" applyBorder="1" applyAlignment="1">
      <alignment horizontal="center" wrapText="1"/>
    </xf>
    <xf numFmtId="171" fontId="10" fillId="7" borderId="18" xfId="0" applyNumberFormat="1" applyFont="1" applyFill="1" applyBorder="1" applyAlignment="1">
      <alignment horizontal="center"/>
    </xf>
    <xf numFmtId="171" fontId="10" fillId="7" borderId="15" xfId="0" applyNumberFormat="1" applyFont="1" applyFill="1" applyBorder="1" applyAlignment="1">
      <alignment horizontal="center"/>
    </xf>
    <xf numFmtId="171" fontId="10" fillId="7" borderId="13" xfId="15" applyNumberFormat="1" applyFont="1" applyFill="1" applyBorder="1" applyAlignment="1">
      <alignment horizontal="center"/>
    </xf>
    <xf numFmtId="4" fontId="0" fillId="7" borderId="15" xfId="0" applyNumberFormat="1" applyFill="1" applyBorder="1" applyAlignment="1">
      <alignment horizontal="center"/>
    </xf>
    <xf numFmtId="4" fontId="9" fillId="7" borderId="1" xfId="15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7" borderId="18" xfId="0" applyFill="1" applyBorder="1" applyAlignment="1">
      <alignment horizontal="center" wrapText="1"/>
    </xf>
    <xf numFmtId="0" fontId="2" fillId="2" borderId="79" xfId="0" applyFont="1" applyFill="1" applyBorder="1" applyAlignment="1">
      <alignment horizontal="left" wrapText="1"/>
    </xf>
    <xf numFmtId="0" fontId="2" fillId="2" borderId="51" xfId="0" applyFont="1" applyFill="1" applyBorder="1" applyAlignment="1">
      <alignment horizontal="left" wrapText="1"/>
    </xf>
    <xf numFmtId="0" fontId="2" fillId="2" borderId="33" xfId="0" applyFont="1" applyFill="1" applyBorder="1" applyAlignment="1">
      <alignment horizontal="left" wrapText="1"/>
    </xf>
    <xf numFmtId="0" fontId="2" fillId="7" borderId="79" xfId="0" applyFont="1" applyFill="1" applyBorder="1" applyAlignment="1">
      <alignment horizontal="left" wrapText="1"/>
    </xf>
    <xf numFmtId="171" fontId="10" fillId="7" borderId="8" xfId="15" applyNumberFormat="1" applyFont="1" applyFill="1" applyBorder="1" applyAlignment="1">
      <alignment horizontal="center"/>
    </xf>
    <xf numFmtId="0" fontId="10" fillId="7" borderId="8" xfId="15" applyNumberFormat="1" applyFont="1" applyFill="1" applyBorder="1" applyAlignment="1">
      <alignment horizontal="center"/>
    </xf>
    <xf numFmtId="0" fontId="0" fillId="7" borderId="50" xfId="0" applyFill="1" applyBorder="1" applyAlignment="1">
      <alignment horizontal="left" wrapText="1"/>
    </xf>
    <xf numFmtId="0" fontId="0" fillId="7" borderId="56" xfId="0" applyFont="1" applyFill="1" applyBorder="1" applyAlignment="1">
      <alignment horizontal="center"/>
    </xf>
    <xf numFmtId="0" fontId="0" fillId="7" borderId="3" xfId="0" applyFill="1" applyBorder="1" applyAlignment="1">
      <alignment horizontal="center" wrapText="1"/>
    </xf>
    <xf numFmtId="3" fontId="10" fillId="7" borderId="3" xfId="15" applyNumberFormat="1" applyFont="1" applyFill="1" applyBorder="1" applyAlignment="1">
      <alignment horizontal="center"/>
    </xf>
    <xf numFmtId="0" fontId="10" fillId="2" borderId="42" xfId="0" applyFont="1" applyFill="1" applyBorder="1" applyAlignment="1">
      <alignment horizontal="left" wrapText="1" indent="2"/>
    </xf>
    <xf numFmtId="0" fontId="10" fillId="2" borderId="33" xfId="0" applyFont="1" applyFill="1" applyBorder="1" applyAlignment="1">
      <alignment horizontal="center" wrapText="1"/>
    </xf>
    <xf numFmtId="0" fontId="10" fillId="7" borderId="54" xfId="0" applyFont="1" applyFill="1" applyBorder="1" applyAlignment="1">
      <alignment horizontal="left" wrapText="1" indent="2"/>
    </xf>
    <xf numFmtId="3" fontId="10" fillId="7" borderId="18" xfId="15" applyNumberFormat="1" applyFont="1" applyFill="1" applyBorder="1" applyAlignment="1">
      <alignment horizontal="center"/>
    </xf>
    <xf numFmtId="3" fontId="10" fillId="7" borderId="42" xfId="15" applyNumberFormat="1" applyFont="1" applyFill="1" applyBorder="1" applyAlignment="1">
      <alignment horizontal="center"/>
    </xf>
    <xf numFmtId="0" fontId="10" fillId="7" borderId="33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14" fontId="12" fillId="3" borderId="21" xfId="0" applyNumberFormat="1" applyFont="1" applyFill="1" applyBorder="1" applyAlignment="1">
      <alignment horizontal="left" wrapText="1"/>
    </xf>
    <xf numFmtId="14" fontId="12" fillId="3" borderId="2" xfId="0" applyNumberFormat="1" applyFont="1" applyFill="1" applyBorder="1" applyAlignment="1">
      <alignment horizontal="left" wrapText="1"/>
    </xf>
    <xf numFmtId="0" fontId="19" fillId="0" borderId="0" xfId="0" applyFont="1" applyAlignment="1">
      <alignment/>
    </xf>
    <xf numFmtId="0" fontId="21" fillId="3" borderId="26" xfId="0" applyFont="1" applyFill="1" applyBorder="1" applyAlignment="1">
      <alignment horizontal="left" wrapText="1"/>
    </xf>
    <xf numFmtId="0" fontId="20" fillId="3" borderId="2" xfId="0" applyFont="1" applyFill="1" applyBorder="1" applyAlignment="1">
      <alignment horizontal="left" wrapText="1"/>
    </xf>
    <xf numFmtId="0" fontId="20" fillId="0" borderId="0" xfId="0" applyFont="1" applyAlignment="1">
      <alignment/>
    </xf>
    <xf numFmtId="0" fontId="20" fillId="3" borderId="5" xfId="0" applyFont="1" applyFill="1" applyBorder="1" applyAlignment="1">
      <alignment horizontal="left" wrapText="1"/>
    </xf>
    <xf numFmtId="0" fontId="21" fillId="0" borderId="11" xfId="0" applyFont="1" applyBorder="1" applyAlignment="1">
      <alignment horizontal="center" wrapText="1"/>
    </xf>
    <xf numFmtId="0" fontId="21" fillId="3" borderId="2" xfId="0" applyFont="1" applyFill="1" applyBorder="1" applyAlignment="1">
      <alignment horizontal="left" wrapText="1"/>
    </xf>
    <xf numFmtId="0" fontId="20" fillId="3" borderId="14" xfId="0" applyFont="1" applyFill="1" applyBorder="1" applyAlignment="1">
      <alignment horizontal="left" wrapText="1"/>
    </xf>
    <xf numFmtId="3" fontId="21" fillId="2" borderId="13" xfId="15" applyNumberFormat="1" applyFont="1" applyFill="1" applyBorder="1" applyAlignment="1">
      <alignment horizontal="center"/>
    </xf>
    <xf numFmtId="3" fontId="21" fillId="2" borderId="13" xfId="0" applyNumberFormat="1" applyFont="1" applyFill="1" applyBorder="1" applyAlignment="1">
      <alignment horizontal="center"/>
    </xf>
    <xf numFmtId="3" fontId="20" fillId="2" borderId="13" xfId="15" applyNumberFormat="1" applyFont="1" applyFill="1" applyBorder="1" applyAlignment="1">
      <alignment horizontal="center" wrapText="1"/>
    </xf>
    <xf numFmtId="0" fontId="20" fillId="2" borderId="13" xfId="0" applyFont="1" applyFill="1" applyBorder="1" applyAlignment="1">
      <alignment horizontal="left" wrapText="1"/>
    </xf>
    <xf numFmtId="0" fontId="20" fillId="2" borderId="53" xfId="0" applyFont="1" applyFill="1" applyBorder="1" applyAlignment="1">
      <alignment horizontal="left" wrapText="1"/>
    </xf>
    <xf numFmtId="0" fontId="21" fillId="3" borderId="5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2" fillId="7" borderId="80" xfId="0" applyFont="1" applyFill="1" applyBorder="1" applyAlignment="1">
      <alignment horizontal="center" vertical="center" wrapText="1"/>
    </xf>
    <xf numFmtId="0" fontId="2" fillId="7" borderId="81" xfId="0" applyFont="1" applyFill="1" applyBorder="1" applyAlignment="1">
      <alignment horizontal="center" vertical="center" wrapText="1"/>
    </xf>
    <xf numFmtId="3" fontId="2" fillId="7" borderId="82" xfId="0" applyNumberFormat="1" applyFont="1" applyFill="1" applyBorder="1" applyAlignment="1">
      <alignment horizontal="center" vertical="center" wrapText="1"/>
    </xf>
    <xf numFmtId="3" fontId="2" fillId="7" borderId="83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84" xfId="0" applyFont="1" applyFill="1" applyBorder="1" applyAlignment="1">
      <alignment horizontal="center" vertical="center" wrapText="1"/>
    </xf>
    <xf numFmtId="3" fontId="2" fillId="2" borderId="82" xfId="0" applyNumberFormat="1" applyFont="1" applyFill="1" applyBorder="1" applyAlignment="1">
      <alignment horizontal="center" vertical="center" wrapText="1"/>
    </xf>
    <xf numFmtId="3" fontId="2" fillId="2" borderId="83" xfId="0" applyNumberFormat="1" applyFont="1" applyFill="1" applyBorder="1" applyAlignment="1">
      <alignment horizontal="center" vertical="center" wrapText="1"/>
    </xf>
    <xf numFmtId="0" fontId="1" fillId="9" borderId="66" xfId="0" applyFont="1" applyFill="1" applyBorder="1" applyAlignment="1">
      <alignment horizontal="right" vertical="center"/>
    </xf>
    <xf numFmtId="0" fontId="0" fillId="9" borderId="66" xfId="0" applyFill="1" applyBorder="1" applyAlignment="1">
      <alignment horizontal="right"/>
    </xf>
    <xf numFmtId="0" fontId="0" fillId="9" borderId="69" xfId="0" applyFill="1" applyBorder="1" applyAlignment="1">
      <alignment horizontal="right"/>
    </xf>
    <xf numFmtId="0" fontId="2" fillId="2" borderId="85" xfId="0" applyFont="1" applyFill="1" applyBorder="1" applyAlignment="1">
      <alignment horizontal="center" vertical="center" wrapText="1"/>
    </xf>
    <xf numFmtId="0" fontId="2" fillId="2" borderId="86" xfId="0" applyFont="1" applyFill="1" applyBorder="1" applyAlignment="1">
      <alignment horizontal="center" vertical="center" wrapText="1"/>
    </xf>
    <xf numFmtId="3" fontId="2" fillId="7" borderId="87" xfId="0" applyNumberFormat="1" applyFont="1" applyFill="1" applyBorder="1" applyAlignment="1">
      <alignment horizontal="center" vertical="center" wrapText="1"/>
    </xf>
    <xf numFmtId="3" fontId="2" fillId="7" borderId="88" xfId="0" applyNumberFormat="1" applyFont="1" applyFill="1" applyBorder="1" applyAlignment="1">
      <alignment horizontal="center" vertical="center" wrapText="1"/>
    </xf>
    <xf numFmtId="0" fontId="2" fillId="7" borderId="89" xfId="0" applyFont="1" applyFill="1" applyBorder="1" applyAlignment="1">
      <alignment horizontal="center" vertical="center" wrapText="1"/>
    </xf>
    <xf numFmtId="0" fontId="2" fillId="7" borderId="58" xfId="0" applyFont="1" applyFill="1" applyBorder="1" applyAlignment="1">
      <alignment horizontal="center" vertical="center" wrapText="1"/>
    </xf>
    <xf numFmtId="3" fontId="9" fillId="7" borderId="90" xfId="0" applyNumberFormat="1" applyFont="1" applyFill="1" applyBorder="1" applyAlignment="1">
      <alignment horizontal="center" vertical="center" wrapText="1"/>
    </xf>
    <xf numFmtId="3" fontId="9" fillId="7" borderId="91" xfId="0" applyNumberFormat="1" applyFont="1" applyFill="1" applyBorder="1" applyAlignment="1">
      <alignment horizontal="center" vertical="center" wrapText="1"/>
    </xf>
    <xf numFmtId="0" fontId="2" fillId="7" borderId="82" xfId="0" applyFont="1" applyFill="1" applyBorder="1" applyAlignment="1">
      <alignment horizontal="center" vertical="center" wrapText="1"/>
    </xf>
    <xf numFmtId="0" fontId="2" fillId="7" borderId="83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2" borderId="9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" fillId="10" borderId="66" xfId="0" applyFont="1" applyFill="1" applyBorder="1" applyAlignment="1">
      <alignment horizontal="right" vertical="center"/>
    </xf>
    <xf numFmtId="0" fontId="0" fillId="10" borderId="66" xfId="0" applyFill="1" applyBorder="1" applyAlignment="1">
      <alignment horizontal="right"/>
    </xf>
    <xf numFmtId="0" fontId="0" fillId="10" borderId="69" xfId="0" applyFill="1" applyBorder="1" applyAlignment="1">
      <alignment horizontal="right"/>
    </xf>
    <xf numFmtId="0" fontId="12" fillId="0" borderId="11" xfId="0" applyFont="1" applyBorder="1" applyAlignment="1">
      <alignment horizontal="center" wrapText="1"/>
    </xf>
    <xf numFmtId="0" fontId="21" fillId="3" borderId="14" xfId="0" applyFont="1" applyFill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LS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19"/>
  <sheetViews>
    <sheetView tabSelected="1" zoomScale="75" zoomScaleNormal="75" workbookViewId="0" topLeftCell="A1">
      <pane ySplit="7" topLeftCell="BM95" activePane="bottomLeft" state="frozen"/>
      <selection pane="topLeft" activeCell="A1" sqref="A1"/>
      <selection pane="bottomLeft" activeCell="I119" sqref="I119"/>
    </sheetView>
  </sheetViews>
  <sheetFormatPr defaultColWidth="9.140625" defaultRowHeight="12.75"/>
  <cols>
    <col min="1" max="1" width="8.00390625" style="0" customWidth="1"/>
    <col min="2" max="2" width="17.00390625" style="0" customWidth="1"/>
    <col min="3" max="3" width="30.57421875" style="0" customWidth="1"/>
    <col min="4" max="4" width="12.7109375" style="0" customWidth="1"/>
    <col min="5" max="7" width="11.140625" style="0" customWidth="1"/>
    <col min="8" max="8" width="35.140625" style="0" customWidth="1"/>
    <col min="9" max="9" width="30.7109375" style="0" customWidth="1"/>
    <col min="10" max="10" width="12.7109375" style="0" customWidth="1"/>
    <col min="11" max="13" width="11.28125" style="0" customWidth="1"/>
    <col min="14" max="14" width="15.00390625" style="0" customWidth="1"/>
    <col min="15" max="15" width="35.140625" style="0" customWidth="1"/>
    <col min="16" max="16" width="18.28125" style="0" customWidth="1"/>
  </cols>
  <sheetData>
    <row r="2" ht="13.5" thickBot="1">
      <c r="A2" s="72"/>
    </row>
    <row r="3" spans="1:16" s="67" customFormat="1" ht="20.25">
      <c r="A3" s="93"/>
      <c r="B3" s="228"/>
      <c r="C3" s="421" t="s">
        <v>54</v>
      </c>
      <c r="D3" s="422"/>
      <c r="E3" s="422"/>
      <c r="F3" s="422"/>
      <c r="G3" s="422"/>
      <c r="H3" s="422"/>
      <c r="I3" s="422"/>
      <c r="J3" s="422"/>
      <c r="K3" s="229"/>
      <c r="L3" s="229"/>
      <c r="M3" s="229"/>
      <c r="N3" s="229"/>
      <c r="O3" s="229"/>
      <c r="P3" s="230"/>
    </row>
    <row r="4" spans="1:16" ht="21" thickBot="1">
      <c r="A4" s="94"/>
      <c r="B4" s="231"/>
      <c r="C4" s="423"/>
      <c r="D4" s="423"/>
      <c r="E4" s="423"/>
      <c r="F4" s="423"/>
      <c r="G4" s="423"/>
      <c r="H4" s="423"/>
      <c r="I4" s="423"/>
      <c r="J4" s="423"/>
      <c r="K4" s="232"/>
      <c r="L4" s="232"/>
      <c r="M4" s="232"/>
      <c r="N4" s="232"/>
      <c r="O4" s="232"/>
      <c r="P4" s="233"/>
    </row>
    <row r="5" spans="1:16" ht="21" thickBot="1">
      <c r="A5" s="91"/>
      <c r="B5" s="185"/>
      <c r="C5" s="186"/>
      <c r="D5" s="187" t="s">
        <v>37</v>
      </c>
      <c r="E5" s="186"/>
      <c r="F5" s="186"/>
      <c r="G5" s="186"/>
      <c r="H5" s="186"/>
      <c r="I5" s="240"/>
      <c r="J5" s="241"/>
      <c r="K5" s="242" t="s">
        <v>38</v>
      </c>
      <c r="L5" s="242"/>
      <c r="M5" s="242"/>
      <c r="N5" s="243"/>
      <c r="O5" s="243"/>
      <c r="P5" s="244"/>
    </row>
    <row r="6" spans="1:16" ht="20.25" customHeight="1">
      <c r="A6" s="70"/>
      <c r="B6" s="434" t="s">
        <v>0</v>
      </c>
      <c r="C6" s="436" t="s">
        <v>5</v>
      </c>
      <c r="D6" s="419" t="s">
        <v>248</v>
      </c>
      <c r="E6" s="419" t="s">
        <v>33</v>
      </c>
      <c r="F6" s="419" t="s">
        <v>69</v>
      </c>
      <c r="G6" s="419" t="s">
        <v>70</v>
      </c>
      <c r="H6" s="424" t="s">
        <v>3</v>
      </c>
      <c r="I6" s="428" t="s">
        <v>5</v>
      </c>
      <c r="J6" s="426" t="s">
        <v>21</v>
      </c>
      <c r="K6" s="430" t="s">
        <v>32</v>
      </c>
      <c r="L6" s="415" t="s">
        <v>71</v>
      </c>
      <c r="M6" s="415" t="s">
        <v>72</v>
      </c>
      <c r="N6" s="432" t="s">
        <v>73</v>
      </c>
      <c r="O6" s="413" t="s">
        <v>3</v>
      </c>
      <c r="P6" s="417" t="s">
        <v>6</v>
      </c>
    </row>
    <row r="7" spans="1:18" s="72" customFormat="1" ht="33" customHeight="1" thickBot="1">
      <c r="A7" s="73"/>
      <c r="B7" s="435"/>
      <c r="C7" s="437"/>
      <c r="D7" s="420"/>
      <c r="E7" s="420"/>
      <c r="F7" s="420"/>
      <c r="G7" s="420"/>
      <c r="H7" s="425"/>
      <c r="I7" s="429"/>
      <c r="J7" s="427"/>
      <c r="K7" s="431"/>
      <c r="L7" s="416"/>
      <c r="M7" s="416"/>
      <c r="N7" s="433"/>
      <c r="O7" s="414"/>
      <c r="P7" s="418"/>
      <c r="R7" s="107"/>
    </row>
    <row r="8" spans="1:16" ht="15.75" customHeight="1">
      <c r="A8" s="71"/>
      <c r="B8" s="56" t="s">
        <v>1</v>
      </c>
      <c r="C8" s="122" t="s">
        <v>7</v>
      </c>
      <c r="D8" s="68"/>
      <c r="E8" s="1">
        <f>SUM(E9:E12)</f>
        <v>0</v>
      </c>
      <c r="F8" s="1">
        <f>SUM(F9:F12)</f>
        <v>0</v>
      </c>
      <c r="G8" s="1">
        <f>SUM(G9:G12)</f>
        <v>0</v>
      </c>
      <c r="H8" s="227" t="s">
        <v>39</v>
      </c>
      <c r="I8" s="223" t="s">
        <v>7</v>
      </c>
      <c r="J8" s="127"/>
      <c r="K8" s="128">
        <f>SUM(K9:K12)</f>
        <v>0</v>
      </c>
      <c r="L8" s="128">
        <f>SUM(L9:L12)</f>
        <v>0</v>
      </c>
      <c r="M8" s="128">
        <f>SUM(M9:M12)</f>
        <v>0</v>
      </c>
      <c r="N8" s="331"/>
      <c r="O8" s="214" t="s">
        <v>39</v>
      </c>
      <c r="P8" s="2"/>
    </row>
    <row r="9" spans="1:16" ht="14.25" customHeight="1">
      <c r="A9" s="71"/>
      <c r="B9" s="19"/>
      <c r="C9" s="111"/>
      <c r="D9" s="3"/>
      <c r="E9" s="13"/>
      <c r="F9" s="245"/>
      <c r="G9" s="245"/>
      <c r="H9" s="188"/>
      <c r="I9" s="200"/>
      <c r="J9" s="178"/>
      <c r="K9" s="130"/>
      <c r="L9" s="130"/>
      <c r="M9" s="130"/>
      <c r="N9" s="332"/>
      <c r="O9" s="132"/>
      <c r="P9" s="5"/>
    </row>
    <row r="10" spans="2:16" ht="12.75">
      <c r="B10" s="19"/>
      <c r="C10" s="118"/>
      <c r="D10" s="6"/>
      <c r="E10" s="7"/>
      <c r="F10" s="246"/>
      <c r="G10" s="246"/>
      <c r="H10" s="189"/>
      <c r="I10" s="201"/>
      <c r="J10" s="179"/>
      <c r="K10" s="133"/>
      <c r="L10" s="133"/>
      <c r="M10" s="133"/>
      <c r="N10" s="333"/>
      <c r="O10" s="135"/>
      <c r="P10" s="5"/>
    </row>
    <row r="11" spans="2:16" ht="12.75">
      <c r="B11" s="19"/>
      <c r="C11" s="119"/>
      <c r="D11" s="6"/>
      <c r="E11" s="7"/>
      <c r="F11" s="246"/>
      <c r="G11" s="246"/>
      <c r="H11" s="189"/>
      <c r="I11" s="202"/>
      <c r="J11" s="179"/>
      <c r="K11" s="133"/>
      <c r="L11" s="133"/>
      <c r="M11" s="133"/>
      <c r="N11" s="333"/>
      <c r="O11" s="135"/>
      <c r="P11" s="50"/>
    </row>
    <row r="12" spans="2:16" ht="13.5" thickBot="1">
      <c r="B12" s="17"/>
      <c r="C12" s="120"/>
      <c r="D12" s="8"/>
      <c r="E12" s="9"/>
      <c r="F12" s="247"/>
      <c r="G12" s="247"/>
      <c r="H12" s="190"/>
      <c r="I12" s="203"/>
      <c r="J12" s="137"/>
      <c r="K12" s="137"/>
      <c r="L12" s="137"/>
      <c r="M12" s="137"/>
      <c r="N12" s="334"/>
      <c r="O12" s="138"/>
      <c r="P12" s="11"/>
    </row>
    <row r="13" spans="2:16" ht="13.5" thickTop="1">
      <c r="B13" s="85" t="s">
        <v>14</v>
      </c>
      <c r="C13" s="121" t="s">
        <v>7</v>
      </c>
      <c r="D13" s="68"/>
      <c r="E13" s="1">
        <f>SUM(E14:E20)</f>
        <v>615.55</v>
      </c>
      <c r="F13" s="1">
        <f>SUM(F14:F20)</f>
        <v>0</v>
      </c>
      <c r="G13" s="1">
        <f>SUM(G14:G20)</f>
        <v>0</v>
      </c>
      <c r="H13" s="191" t="s">
        <v>8</v>
      </c>
      <c r="I13" s="217" t="s">
        <v>7</v>
      </c>
      <c r="J13" s="127"/>
      <c r="K13" s="129">
        <f>SUM(K14:K20)</f>
        <v>200</v>
      </c>
      <c r="L13" s="129">
        <f>SUM(L14:L20)</f>
        <v>0</v>
      </c>
      <c r="M13" s="129">
        <f>SUM(M14:M20)</f>
        <v>0</v>
      </c>
      <c r="N13" s="331"/>
      <c r="O13" s="139" t="s">
        <v>8</v>
      </c>
      <c r="P13" s="2"/>
    </row>
    <row r="14" spans="2:16" ht="24">
      <c r="B14" s="83" t="s">
        <v>65</v>
      </c>
      <c r="C14" s="108" t="s">
        <v>51</v>
      </c>
      <c r="D14" s="28"/>
      <c r="E14" s="49">
        <v>473.8</v>
      </c>
      <c r="F14" s="193"/>
      <c r="G14" s="193"/>
      <c r="H14" s="192" t="s">
        <v>36</v>
      </c>
      <c r="I14" s="204" t="s">
        <v>35</v>
      </c>
      <c r="J14" s="161">
        <v>2</v>
      </c>
      <c r="K14" s="140">
        <v>200</v>
      </c>
      <c r="L14" s="140"/>
      <c r="M14" s="140"/>
      <c r="N14" s="326"/>
      <c r="O14" s="141" t="s">
        <v>59</v>
      </c>
      <c r="P14" s="30"/>
    </row>
    <row r="15" spans="2:16" ht="12.75">
      <c r="B15" s="19" t="s">
        <v>52</v>
      </c>
      <c r="C15" s="108" t="s">
        <v>23</v>
      </c>
      <c r="D15" s="31"/>
      <c r="E15" s="49">
        <v>141.75</v>
      </c>
      <c r="F15" s="193"/>
      <c r="G15" s="193"/>
      <c r="H15" s="193" t="s">
        <v>23</v>
      </c>
      <c r="I15" s="204"/>
      <c r="J15" s="180"/>
      <c r="K15" s="140"/>
      <c r="L15" s="140"/>
      <c r="M15" s="140"/>
      <c r="N15" s="326"/>
      <c r="O15" s="140"/>
      <c r="P15" s="30"/>
    </row>
    <row r="16" spans="2:16" ht="12.75">
      <c r="B16" s="83" t="s">
        <v>24</v>
      </c>
      <c r="C16" s="108"/>
      <c r="D16" s="31"/>
      <c r="E16" s="49"/>
      <c r="F16" s="193"/>
      <c r="G16" s="193"/>
      <c r="H16" s="193"/>
      <c r="I16" s="204"/>
      <c r="J16" s="180"/>
      <c r="K16" s="140"/>
      <c r="L16" s="140"/>
      <c r="M16" s="140"/>
      <c r="N16" s="326"/>
      <c r="O16" s="140"/>
      <c r="P16" s="30"/>
    </row>
    <row r="17" spans="2:16" ht="12.75">
      <c r="B17" s="83" t="s">
        <v>11</v>
      </c>
      <c r="C17" s="108"/>
      <c r="D17" s="31"/>
      <c r="E17" s="49"/>
      <c r="F17" s="193"/>
      <c r="G17" s="193"/>
      <c r="H17" s="193"/>
      <c r="I17" s="204"/>
      <c r="J17" s="180"/>
      <c r="K17" s="140"/>
      <c r="L17" s="140"/>
      <c r="M17" s="140"/>
      <c r="N17" s="326"/>
      <c r="O17" s="140"/>
      <c r="P17" s="30"/>
    </row>
    <row r="18" spans="2:16" ht="12.75">
      <c r="B18" s="83"/>
      <c r="C18" s="108"/>
      <c r="D18" s="31"/>
      <c r="E18" s="49"/>
      <c r="F18" s="193"/>
      <c r="G18" s="193"/>
      <c r="H18" s="193"/>
      <c r="I18" s="204"/>
      <c r="J18" s="180"/>
      <c r="K18" s="140"/>
      <c r="L18" s="140"/>
      <c r="M18" s="140"/>
      <c r="N18" s="326"/>
      <c r="O18" s="140"/>
      <c r="P18" s="30"/>
    </row>
    <row r="19" spans="2:16" ht="12.75">
      <c r="B19" s="83"/>
      <c r="C19" s="109"/>
      <c r="D19" s="31"/>
      <c r="E19" s="49"/>
      <c r="F19" s="193"/>
      <c r="G19" s="193"/>
      <c r="H19" s="193"/>
      <c r="I19" s="205"/>
      <c r="J19" s="180"/>
      <c r="K19" s="140"/>
      <c r="L19" s="140"/>
      <c r="M19" s="140"/>
      <c r="N19" s="326"/>
      <c r="O19" s="140"/>
      <c r="P19" s="38"/>
    </row>
    <row r="20" spans="2:16" ht="13.5" thickBot="1">
      <c r="B20" s="16"/>
      <c r="C20" s="110"/>
      <c r="D20" s="6"/>
      <c r="E20" s="84"/>
      <c r="F20" s="260"/>
      <c r="G20" s="261"/>
      <c r="H20" s="194"/>
      <c r="I20" s="206"/>
      <c r="J20" s="179"/>
      <c r="K20" s="142"/>
      <c r="L20" s="142"/>
      <c r="M20" s="142"/>
      <c r="N20" s="335"/>
      <c r="O20" s="143"/>
      <c r="P20" s="38"/>
    </row>
    <row r="21" spans="2:16" ht="13.5" thickTop="1">
      <c r="B21" s="86" t="s">
        <v>10</v>
      </c>
      <c r="C21" s="123" t="s">
        <v>7</v>
      </c>
      <c r="D21" s="87"/>
      <c r="E21" s="88">
        <f>SUM(E22:E25)</f>
        <v>17.5</v>
      </c>
      <c r="F21" s="88">
        <f>SUM(F22:F25)</f>
        <v>142</v>
      </c>
      <c r="G21" s="88">
        <f>SUM(G22:G25)</f>
        <v>142</v>
      </c>
      <c r="H21" s="409" t="s">
        <v>254</v>
      </c>
      <c r="I21" s="217" t="s">
        <v>7</v>
      </c>
      <c r="J21" s="144"/>
      <c r="K21" s="145">
        <f>SUM(K22:K25)</f>
        <v>10</v>
      </c>
      <c r="L21" s="145">
        <f>SUM(L22:L25)</f>
        <v>142</v>
      </c>
      <c r="M21" s="145">
        <f>SUM(M22:M25)</f>
        <v>142</v>
      </c>
      <c r="N21" s="336"/>
      <c r="O21" s="146"/>
      <c r="P21" s="398" t="s">
        <v>245</v>
      </c>
    </row>
    <row r="22" spans="2:16" ht="12.75" customHeight="1">
      <c r="B22" s="12" t="s">
        <v>25</v>
      </c>
      <c r="C22" s="111" t="s">
        <v>83</v>
      </c>
      <c r="D22" s="3"/>
      <c r="E22" s="13">
        <v>1</v>
      </c>
      <c r="F22" s="246">
        <v>122</v>
      </c>
      <c r="G22" s="246">
        <v>122</v>
      </c>
      <c r="H22" s="408" t="s">
        <v>254</v>
      </c>
      <c r="I22" s="204" t="s">
        <v>30</v>
      </c>
      <c r="J22" s="178"/>
      <c r="K22" s="131">
        <f>0.02*500</f>
        <v>10</v>
      </c>
      <c r="L22" s="268">
        <v>122</v>
      </c>
      <c r="M22" s="268">
        <v>122</v>
      </c>
      <c r="N22" s="337"/>
      <c r="O22" s="147" t="s">
        <v>53</v>
      </c>
      <c r="P22" s="38"/>
    </row>
    <row r="23" spans="2:16" ht="12.75">
      <c r="B23" s="19" t="s">
        <v>80</v>
      </c>
      <c r="C23" s="108" t="s">
        <v>23</v>
      </c>
      <c r="D23" s="3"/>
      <c r="E23" s="13">
        <v>11</v>
      </c>
      <c r="F23" s="245">
        <v>20</v>
      </c>
      <c r="G23" s="13">
        <v>20</v>
      </c>
      <c r="H23" s="291" t="s">
        <v>79</v>
      </c>
      <c r="I23" s="200"/>
      <c r="J23" s="178"/>
      <c r="K23" s="131"/>
      <c r="L23" s="131">
        <v>20</v>
      </c>
      <c r="M23" s="131">
        <v>20</v>
      </c>
      <c r="N23" s="332"/>
      <c r="O23" s="143"/>
      <c r="P23" s="38"/>
    </row>
    <row r="24" spans="2:16" ht="14.25">
      <c r="B24" s="16" t="s">
        <v>27</v>
      </c>
      <c r="C24" s="109" t="s">
        <v>23</v>
      </c>
      <c r="D24" s="292"/>
      <c r="E24" s="293">
        <v>5.5</v>
      </c>
      <c r="F24" s="248">
        <v>0</v>
      </c>
      <c r="G24" s="84"/>
      <c r="H24" s="194" t="s">
        <v>81</v>
      </c>
      <c r="I24" s="207"/>
      <c r="J24" s="178"/>
      <c r="K24" s="131"/>
      <c r="L24" s="131">
        <v>0</v>
      </c>
      <c r="M24" s="131"/>
      <c r="N24" s="332"/>
      <c r="O24" s="143"/>
      <c r="P24" s="38"/>
    </row>
    <row r="25" spans="2:16" ht="13.5" thickBot="1">
      <c r="B25" s="55"/>
      <c r="C25" s="296"/>
      <c r="D25" s="8"/>
      <c r="E25" s="294"/>
      <c r="F25" s="260"/>
      <c r="G25" s="261"/>
      <c r="H25" s="295"/>
      <c r="I25" s="208"/>
      <c r="J25" s="181"/>
      <c r="K25" s="148"/>
      <c r="L25" s="148"/>
      <c r="M25" s="148"/>
      <c r="N25" s="338"/>
      <c r="O25" s="149"/>
      <c r="P25" s="11"/>
    </row>
    <row r="26" spans="2:17" ht="13.5" thickTop="1">
      <c r="B26" s="56" t="s">
        <v>15</v>
      </c>
      <c r="C26" s="123" t="s">
        <v>7</v>
      </c>
      <c r="D26" s="68"/>
      <c r="E26" s="1">
        <f>SUM(E27:E36)</f>
        <v>489.6</v>
      </c>
      <c r="F26" s="1">
        <f>SUM(F27:F36)</f>
        <v>1005.0000000000002</v>
      </c>
      <c r="G26" s="1">
        <f>SUM(G27:G36)</f>
        <v>1985</v>
      </c>
      <c r="H26" s="33" t="s">
        <v>41</v>
      </c>
      <c r="I26" s="217" t="s">
        <v>7</v>
      </c>
      <c r="J26" s="127"/>
      <c r="K26" s="129">
        <f>SUM(K27:K36)</f>
        <v>199.51399999999998</v>
      </c>
      <c r="L26" s="129">
        <f>SUM(L27:L36)</f>
        <v>345</v>
      </c>
      <c r="M26" s="129">
        <f>SUM(M27:M36)</f>
        <v>1417</v>
      </c>
      <c r="N26" s="331"/>
      <c r="O26" s="306" t="s">
        <v>41</v>
      </c>
      <c r="P26" s="399" t="s">
        <v>268</v>
      </c>
      <c r="Q26" s="400" t="s">
        <v>270</v>
      </c>
    </row>
    <row r="27" spans="2:16" ht="36">
      <c r="B27" s="39" t="s">
        <v>42</v>
      </c>
      <c r="C27" s="108" t="s">
        <v>176</v>
      </c>
      <c r="D27" s="31">
        <v>8</v>
      </c>
      <c r="E27" s="32">
        <v>60</v>
      </c>
      <c r="F27" s="249">
        <f>2*(1250*0.95*(1-0.7))</f>
        <v>712.5000000000001</v>
      </c>
      <c r="G27" s="405">
        <v>1600</v>
      </c>
      <c r="H27" s="33" t="s">
        <v>269</v>
      </c>
      <c r="I27" s="204" t="s">
        <v>177</v>
      </c>
      <c r="J27" s="180">
        <v>8</v>
      </c>
      <c r="K27" s="150">
        <v>28</v>
      </c>
      <c r="L27" s="171">
        <f>2*(1250*0.95*(1-0.9))</f>
        <v>237.49999999999994</v>
      </c>
      <c r="M27" s="150">
        <v>1300</v>
      </c>
      <c r="N27" s="339" t="s">
        <v>188</v>
      </c>
      <c r="O27" s="151" t="s">
        <v>267</v>
      </c>
      <c r="P27" s="401" t="s">
        <v>243</v>
      </c>
    </row>
    <row r="28" spans="2:16" ht="12.75">
      <c r="B28" s="39" t="s">
        <v>43</v>
      </c>
      <c r="C28" s="108" t="s">
        <v>23</v>
      </c>
      <c r="D28" s="31">
        <v>8</v>
      </c>
      <c r="E28" s="32">
        <v>25.6</v>
      </c>
      <c r="F28" s="249" t="s">
        <v>168</v>
      </c>
      <c r="G28" s="249"/>
      <c r="H28" s="33"/>
      <c r="I28" s="204" t="s">
        <v>23</v>
      </c>
      <c r="J28" s="180">
        <v>8</v>
      </c>
      <c r="K28" s="150">
        <v>14</v>
      </c>
      <c r="L28" s="171" t="s">
        <v>168</v>
      </c>
      <c r="M28" s="150"/>
      <c r="N28" s="339" t="s">
        <v>188</v>
      </c>
      <c r="O28" s="151"/>
      <c r="P28" s="59"/>
    </row>
    <row r="29" spans="2:16" ht="12.75">
      <c r="B29" s="16" t="s">
        <v>44</v>
      </c>
      <c r="C29" s="108" t="s">
        <v>23</v>
      </c>
      <c r="D29" s="31">
        <v>8</v>
      </c>
      <c r="E29" s="32">
        <v>104</v>
      </c>
      <c r="F29" s="249">
        <f>2*1250*(1-0.95)</f>
        <v>125.00000000000011</v>
      </c>
      <c r="G29" s="405">
        <v>150</v>
      </c>
      <c r="H29" s="33"/>
      <c r="I29" s="204" t="s">
        <v>23</v>
      </c>
      <c r="J29" s="180">
        <v>8</v>
      </c>
      <c r="K29" s="142">
        <v>66</v>
      </c>
      <c r="L29" s="171">
        <f>2*1250*(1-0.98)</f>
        <v>50.00000000000004</v>
      </c>
      <c r="M29" s="142">
        <v>55</v>
      </c>
      <c r="N29" s="339" t="s">
        <v>188</v>
      </c>
      <c r="O29" s="151"/>
      <c r="P29" s="401" t="s">
        <v>243</v>
      </c>
    </row>
    <row r="30" spans="1:16" ht="13.5" customHeight="1">
      <c r="A30" s="90"/>
      <c r="B30" s="16" t="s">
        <v>45</v>
      </c>
      <c r="C30" s="108" t="s">
        <v>23</v>
      </c>
      <c r="D30" s="31">
        <v>8</v>
      </c>
      <c r="E30" s="32">
        <v>36</v>
      </c>
      <c r="F30" s="249" t="s">
        <v>168</v>
      </c>
      <c r="G30" s="249"/>
      <c r="H30" s="33"/>
      <c r="I30" s="204" t="s">
        <v>23</v>
      </c>
      <c r="J30" s="180">
        <v>8</v>
      </c>
      <c r="K30" s="142">
        <v>16</v>
      </c>
      <c r="L30" s="171" t="s">
        <v>168</v>
      </c>
      <c r="M30" s="142"/>
      <c r="N30" s="339" t="s">
        <v>188</v>
      </c>
      <c r="O30" s="151"/>
      <c r="P30" s="59"/>
    </row>
    <row r="31" spans="1:16" ht="37.5" customHeight="1">
      <c r="A31" s="90"/>
      <c r="B31" s="16" t="s">
        <v>46</v>
      </c>
      <c r="C31" s="108" t="s">
        <v>23</v>
      </c>
      <c r="D31" s="31">
        <v>12</v>
      </c>
      <c r="E31" s="34">
        <v>56</v>
      </c>
      <c r="F31" s="249">
        <f>2*(250*0.95*(1-0.7))</f>
        <v>142.50000000000003</v>
      </c>
      <c r="G31" s="406">
        <v>200</v>
      </c>
      <c r="H31" s="33" t="s">
        <v>169</v>
      </c>
      <c r="I31" s="204" t="s">
        <v>23</v>
      </c>
      <c r="J31" s="180">
        <v>12</v>
      </c>
      <c r="K31" s="142">
        <v>28</v>
      </c>
      <c r="L31" s="171">
        <f>2*(250*0.95*(1-0.9))</f>
        <v>47.49999999999999</v>
      </c>
      <c r="M31" s="142">
        <v>50</v>
      </c>
      <c r="N31" s="339" t="s">
        <v>188</v>
      </c>
      <c r="O31" s="151" t="s">
        <v>170</v>
      </c>
      <c r="P31" s="401" t="s">
        <v>244</v>
      </c>
    </row>
    <row r="32" spans="1:16" ht="13.5" customHeight="1">
      <c r="A32" s="90"/>
      <c r="B32" s="16" t="s">
        <v>47</v>
      </c>
      <c r="C32" s="112" t="s">
        <v>23</v>
      </c>
      <c r="D32" s="63">
        <v>4</v>
      </c>
      <c r="E32" s="64">
        <v>8</v>
      </c>
      <c r="F32" s="250" t="s">
        <v>168</v>
      </c>
      <c r="G32" s="250"/>
      <c r="H32" s="65"/>
      <c r="I32" s="204" t="s">
        <v>23</v>
      </c>
      <c r="J32" s="182">
        <v>4</v>
      </c>
      <c r="K32" s="142">
        <v>2</v>
      </c>
      <c r="L32" s="354" t="s">
        <v>168</v>
      </c>
      <c r="M32" s="142"/>
      <c r="N32" s="339" t="s">
        <v>188</v>
      </c>
      <c r="O32" s="152"/>
      <c r="P32" s="59"/>
    </row>
    <row r="33" spans="1:16" ht="13.5" customHeight="1">
      <c r="A33" s="91"/>
      <c r="B33" s="16" t="s">
        <v>48</v>
      </c>
      <c r="C33" s="114" t="s">
        <v>23</v>
      </c>
      <c r="D33" s="63">
        <v>4</v>
      </c>
      <c r="E33" s="64">
        <v>88</v>
      </c>
      <c r="F33" s="249">
        <f>2*250*(1-0.95)</f>
        <v>25.00000000000002</v>
      </c>
      <c r="G33" s="407">
        <v>35</v>
      </c>
      <c r="H33" s="65"/>
      <c r="I33" s="204" t="s">
        <v>23</v>
      </c>
      <c r="J33" s="182">
        <v>4</v>
      </c>
      <c r="K33" s="171">
        <v>32.664</v>
      </c>
      <c r="L33" s="171">
        <f>2*250*(1-0.98)</f>
        <v>10.000000000000009</v>
      </c>
      <c r="M33" s="171">
        <v>12</v>
      </c>
      <c r="N33" s="339" t="s">
        <v>188</v>
      </c>
      <c r="O33" s="152"/>
      <c r="P33" s="404" t="s">
        <v>242</v>
      </c>
    </row>
    <row r="34" spans="1:16" ht="13.5" customHeight="1">
      <c r="A34" s="91"/>
      <c r="B34" s="16" t="s">
        <v>49</v>
      </c>
      <c r="C34" s="114" t="s">
        <v>23</v>
      </c>
      <c r="D34" s="63">
        <v>4</v>
      </c>
      <c r="E34" s="64">
        <v>48</v>
      </c>
      <c r="F34" s="250" t="s">
        <v>168</v>
      </c>
      <c r="G34" s="250"/>
      <c r="H34" s="65"/>
      <c r="I34" s="204" t="s">
        <v>23</v>
      </c>
      <c r="J34" s="182">
        <v>4</v>
      </c>
      <c r="K34" s="171">
        <v>8</v>
      </c>
      <c r="L34" s="354" t="s">
        <v>168</v>
      </c>
      <c r="M34" s="171"/>
      <c r="N34" s="339" t="s">
        <v>188</v>
      </c>
      <c r="O34" s="152"/>
      <c r="P34" s="74"/>
    </row>
    <row r="35" spans="1:16" ht="13.5" customHeight="1">
      <c r="A35" s="91"/>
      <c r="B35" s="16" t="s">
        <v>50</v>
      </c>
      <c r="C35" s="114" t="s">
        <v>23</v>
      </c>
      <c r="D35" s="63">
        <v>1</v>
      </c>
      <c r="E35" s="64">
        <v>64</v>
      </c>
      <c r="F35" s="262" t="s">
        <v>168</v>
      </c>
      <c r="G35" s="263"/>
      <c r="H35" s="65" t="s">
        <v>171</v>
      </c>
      <c r="I35" s="204" t="s">
        <v>23</v>
      </c>
      <c r="J35" s="182">
        <v>1</v>
      </c>
      <c r="K35" s="171">
        <v>4.85</v>
      </c>
      <c r="L35" s="355" t="s">
        <v>168</v>
      </c>
      <c r="M35" s="171"/>
      <c r="N35" s="339" t="s">
        <v>188</v>
      </c>
      <c r="O35" s="152" t="s">
        <v>172</v>
      </c>
      <c r="P35" s="74"/>
    </row>
    <row r="36" spans="2:16" ht="12.75" customHeight="1" thickBot="1">
      <c r="B36" s="55"/>
      <c r="C36" s="113"/>
      <c r="D36" s="8"/>
      <c r="E36" s="9"/>
      <c r="F36" s="247"/>
      <c r="G36" s="9"/>
      <c r="H36" s="194"/>
      <c r="I36" s="210"/>
      <c r="J36" s="137"/>
      <c r="K36" s="153"/>
      <c r="L36" s="153"/>
      <c r="M36" s="153"/>
      <c r="N36" s="340"/>
      <c r="O36" s="149"/>
      <c r="P36" s="74"/>
    </row>
    <row r="37" spans="2:16" ht="13.5" thickTop="1">
      <c r="B37" s="56" t="s">
        <v>16</v>
      </c>
      <c r="C37" s="125" t="s">
        <v>7</v>
      </c>
      <c r="D37" s="68"/>
      <c r="E37" s="14">
        <f>SUM(E38:E41)</f>
        <v>1284</v>
      </c>
      <c r="F37" s="14">
        <f>SUM(F38:F41)</f>
        <v>0</v>
      </c>
      <c r="G37" s="14">
        <f>SUM(G38:G41)</f>
        <v>0</v>
      </c>
      <c r="H37" s="191"/>
      <c r="I37" s="217" t="s">
        <v>7</v>
      </c>
      <c r="J37" s="127"/>
      <c r="K37" s="154">
        <f>SUM(K38:K41)</f>
        <v>194</v>
      </c>
      <c r="L37" s="154">
        <f>SUM(L38:L41)</f>
        <v>0</v>
      </c>
      <c r="M37" s="154">
        <f>SUM(M38:M41)</f>
        <v>0</v>
      </c>
      <c r="N37" s="341"/>
      <c r="O37" s="139"/>
      <c r="P37" s="78"/>
    </row>
    <row r="38" spans="2:16" ht="36">
      <c r="B38" s="62" t="s">
        <v>28</v>
      </c>
      <c r="C38" s="226" t="s">
        <v>194</v>
      </c>
      <c r="D38" s="63"/>
      <c r="E38" s="64">
        <v>1284</v>
      </c>
      <c r="F38" s="250"/>
      <c r="G38" s="250"/>
      <c r="H38" s="33" t="s">
        <v>190</v>
      </c>
      <c r="I38" s="204" t="s">
        <v>167</v>
      </c>
      <c r="J38" s="182"/>
      <c r="K38" s="155">
        <v>194</v>
      </c>
      <c r="L38" s="155"/>
      <c r="M38" s="155"/>
      <c r="N38" s="342"/>
      <c r="O38" s="151"/>
      <c r="P38" s="59"/>
    </row>
    <row r="39" spans="2:16" ht="12.75">
      <c r="B39" s="62"/>
      <c r="C39" s="112"/>
      <c r="D39" s="63"/>
      <c r="E39" s="64"/>
      <c r="F39" s="250"/>
      <c r="G39" s="250"/>
      <c r="H39" s="65"/>
      <c r="I39" s="209"/>
      <c r="J39" s="182"/>
      <c r="K39" s="155"/>
      <c r="L39" s="155"/>
      <c r="M39" s="155"/>
      <c r="N39" s="342"/>
      <c r="O39" s="152"/>
      <c r="P39" s="5"/>
    </row>
    <row r="40" spans="2:16" ht="12.75">
      <c r="B40" s="62"/>
      <c r="C40" s="112"/>
      <c r="D40" s="63"/>
      <c r="E40" s="64"/>
      <c r="F40" s="250"/>
      <c r="G40" s="250"/>
      <c r="H40" s="33"/>
      <c r="I40" s="209"/>
      <c r="J40" s="182"/>
      <c r="K40" s="155"/>
      <c r="L40" s="155"/>
      <c r="M40" s="155"/>
      <c r="N40" s="342"/>
      <c r="O40" s="151"/>
      <c r="P40" s="47"/>
    </row>
    <row r="41" spans="2:16" ht="13.5" thickBot="1">
      <c r="B41" s="55"/>
      <c r="C41" s="113"/>
      <c r="D41" s="8"/>
      <c r="E41" s="51"/>
      <c r="F41" s="251"/>
      <c r="G41" s="251"/>
      <c r="H41" s="10"/>
      <c r="I41" s="210"/>
      <c r="J41" s="137"/>
      <c r="K41" s="156"/>
      <c r="L41" s="156"/>
      <c r="M41" s="156"/>
      <c r="N41" s="343"/>
      <c r="O41" s="149"/>
      <c r="P41" s="74"/>
    </row>
    <row r="42" spans="2:16" ht="13.5" thickTop="1">
      <c r="B42" s="45" t="s">
        <v>66</v>
      </c>
      <c r="C42" s="124" t="s">
        <v>7</v>
      </c>
      <c r="D42" s="69"/>
      <c r="E42" s="36">
        <f>SUM(E43:E60)</f>
        <v>49.00000000000001</v>
      </c>
      <c r="F42" s="36">
        <f>SUM(F43:F60)</f>
        <v>156.4</v>
      </c>
      <c r="G42" s="36">
        <f>SUM(G43:G60)</f>
        <v>256.1</v>
      </c>
      <c r="H42" s="105"/>
      <c r="I42" s="216" t="s">
        <v>7</v>
      </c>
      <c r="J42" s="157"/>
      <c r="K42" s="158">
        <f>SUM(K43:K60)</f>
        <v>21</v>
      </c>
      <c r="L42" s="158">
        <f>SUM(L43:L60)</f>
        <v>110.5</v>
      </c>
      <c r="M42" s="158">
        <f>SUM(M43:M60)</f>
        <v>139</v>
      </c>
      <c r="N42" s="344"/>
      <c r="O42" s="159"/>
      <c r="P42" s="75"/>
    </row>
    <row r="43" spans="2:16" ht="12.75">
      <c r="B43" s="103"/>
      <c r="C43" s="114" t="s">
        <v>150</v>
      </c>
      <c r="D43" s="28"/>
      <c r="E43" s="49"/>
      <c r="F43" s="193"/>
      <c r="G43" s="193"/>
      <c r="H43" s="29"/>
      <c r="I43" s="204" t="s">
        <v>150</v>
      </c>
      <c r="J43" s="161"/>
      <c r="K43" s="140"/>
      <c r="L43" s="269"/>
      <c r="M43" s="269"/>
      <c r="N43" s="337"/>
      <c r="O43" s="160"/>
      <c r="P43" s="30"/>
    </row>
    <row r="44" spans="2:16" ht="48">
      <c r="B44" s="39" t="s">
        <v>85</v>
      </c>
      <c r="C44" s="108" t="s">
        <v>86</v>
      </c>
      <c r="D44" s="28">
        <v>2</v>
      </c>
      <c r="E44" s="49">
        <v>4</v>
      </c>
      <c r="F44" s="193">
        <v>2</v>
      </c>
      <c r="G44" s="193">
        <v>2</v>
      </c>
      <c r="H44" s="29" t="s">
        <v>87</v>
      </c>
      <c r="I44" s="204" t="s">
        <v>88</v>
      </c>
      <c r="J44" s="161">
        <v>2</v>
      </c>
      <c r="K44" s="140">
        <v>1</v>
      </c>
      <c r="L44" s="140">
        <v>0.5</v>
      </c>
      <c r="M44" s="140">
        <v>1</v>
      </c>
      <c r="N44" s="326">
        <v>2015</v>
      </c>
      <c r="O44" s="147" t="s">
        <v>89</v>
      </c>
      <c r="P44" s="30"/>
    </row>
    <row r="45" spans="2:16" ht="120">
      <c r="B45" s="441" t="s">
        <v>257</v>
      </c>
      <c r="C45" s="226" t="s">
        <v>90</v>
      </c>
      <c r="D45" s="102">
        <v>1</v>
      </c>
      <c r="E45" s="102">
        <v>4</v>
      </c>
      <c r="F45" s="28">
        <v>7</v>
      </c>
      <c r="G45" s="252">
        <v>7</v>
      </c>
      <c r="H45" s="29" t="s">
        <v>91</v>
      </c>
      <c r="I45" s="204" t="s">
        <v>92</v>
      </c>
      <c r="J45" s="161">
        <v>1</v>
      </c>
      <c r="K45" s="161">
        <v>2</v>
      </c>
      <c r="L45" s="161">
        <v>2</v>
      </c>
      <c r="M45" s="161">
        <v>3</v>
      </c>
      <c r="N45" s="328">
        <v>2015</v>
      </c>
      <c r="O45" s="160" t="s">
        <v>93</v>
      </c>
      <c r="P45" s="403"/>
    </row>
    <row r="46" spans="2:16" ht="36">
      <c r="B46" s="39" t="s">
        <v>94</v>
      </c>
      <c r="C46" s="108" t="s">
        <v>95</v>
      </c>
      <c r="D46" s="28" t="s">
        <v>96</v>
      </c>
      <c r="E46" s="49">
        <v>2.5</v>
      </c>
      <c r="F46" s="267">
        <v>4</v>
      </c>
      <c r="G46" s="193">
        <v>4</v>
      </c>
      <c r="H46" s="29" t="s">
        <v>97</v>
      </c>
      <c r="I46" s="204" t="s">
        <v>98</v>
      </c>
      <c r="J46" s="161" t="s">
        <v>96</v>
      </c>
      <c r="K46" s="140">
        <v>2</v>
      </c>
      <c r="L46" s="140">
        <v>2</v>
      </c>
      <c r="M46" s="140">
        <v>3</v>
      </c>
      <c r="N46" s="326">
        <v>2015</v>
      </c>
      <c r="O46" s="160" t="s">
        <v>99</v>
      </c>
      <c r="P46" s="30"/>
    </row>
    <row r="47" spans="2:16" ht="36">
      <c r="B47" s="39" t="s">
        <v>68</v>
      </c>
      <c r="C47" s="108" t="s">
        <v>100</v>
      </c>
      <c r="D47" s="31">
        <v>1</v>
      </c>
      <c r="E47" s="37">
        <v>4.5</v>
      </c>
      <c r="F47" s="253">
        <v>27</v>
      </c>
      <c r="G47" s="253">
        <v>27</v>
      </c>
      <c r="H47" s="33" t="s">
        <v>101</v>
      </c>
      <c r="I47" s="204" t="s">
        <v>102</v>
      </c>
      <c r="J47" s="180">
        <v>1</v>
      </c>
      <c r="K47" s="162">
        <v>1</v>
      </c>
      <c r="L47" s="162">
        <v>4</v>
      </c>
      <c r="M47" s="162">
        <v>4</v>
      </c>
      <c r="N47" s="329">
        <v>2015</v>
      </c>
      <c r="O47" s="147" t="s">
        <v>89</v>
      </c>
      <c r="P47" s="30"/>
    </row>
    <row r="48" spans="2:16" ht="24">
      <c r="B48" s="39" t="s">
        <v>103</v>
      </c>
      <c r="C48" s="108" t="s">
        <v>104</v>
      </c>
      <c r="D48" s="31">
        <v>4</v>
      </c>
      <c r="E48" s="37">
        <v>0.56</v>
      </c>
      <c r="F48" s="253">
        <v>0.5</v>
      </c>
      <c r="G48" s="253">
        <v>0.5</v>
      </c>
      <c r="H48" s="33" t="s">
        <v>105</v>
      </c>
      <c r="I48" s="204" t="s">
        <v>106</v>
      </c>
      <c r="J48" s="180">
        <v>4</v>
      </c>
      <c r="K48" s="162">
        <v>1</v>
      </c>
      <c r="L48" s="162">
        <v>1</v>
      </c>
      <c r="M48" s="162">
        <v>1</v>
      </c>
      <c r="N48" s="326">
        <v>2015</v>
      </c>
      <c r="O48" s="147" t="s">
        <v>107</v>
      </c>
      <c r="P48" s="30"/>
    </row>
    <row r="49" spans="2:19" ht="36">
      <c r="B49" s="39" t="s">
        <v>108</v>
      </c>
      <c r="C49" s="108" t="s">
        <v>109</v>
      </c>
      <c r="D49" s="31">
        <v>4</v>
      </c>
      <c r="E49" s="37">
        <v>16</v>
      </c>
      <c r="F49" s="253">
        <v>8</v>
      </c>
      <c r="G49" s="253">
        <v>60</v>
      </c>
      <c r="H49" s="33" t="s">
        <v>110</v>
      </c>
      <c r="I49" s="204" t="s">
        <v>111</v>
      </c>
      <c r="J49" s="180">
        <v>4</v>
      </c>
      <c r="K49" s="162">
        <v>5</v>
      </c>
      <c r="L49" s="162">
        <v>3</v>
      </c>
      <c r="M49" s="162">
        <v>15</v>
      </c>
      <c r="N49" s="329">
        <v>2015</v>
      </c>
      <c r="O49" s="151" t="s">
        <v>112</v>
      </c>
      <c r="P49" s="30"/>
      <c r="S49" s="397"/>
    </row>
    <row r="50" spans="2:19" ht="39.75" customHeight="1">
      <c r="B50" s="39" t="s">
        <v>246</v>
      </c>
      <c r="C50" s="108" t="s">
        <v>247</v>
      </c>
      <c r="D50" s="31" t="s">
        <v>252</v>
      </c>
      <c r="E50" s="37" t="s">
        <v>249</v>
      </c>
      <c r="F50" s="253">
        <v>90</v>
      </c>
      <c r="G50" s="253">
        <v>100</v>
      </c>
      <c r="H50" s="33" t="s">
        <v>250</v>
      </c>
      <c r="I50" s="204" t="s">
        <v>247</v>
      </c>
      <c r="J50" s="180" t="s">
        <v>256</v>
      </c>
      <c r="K50" s="162" t="s">
        <v>249</v>
      </c>
      <c r="L50" s="162">
        <v>90</v>
      </c>
      <c r="M50" s="162">
        <v>100</v>
      </c>
      <c r="N50" s="329">
        <v>2020</v>
      </c>
      <c r="O50" s="151" t="s">
        <v>251</v>
      </c>
      <c r="P50" s="410" t="s">
        <v>241</v>
      </c>
      <c r="S50" s="397"/>
    </row>
    <row r="51" spans="2:16" ht="72">
      <c r="B51" s="39" t="s">
        <v>113</v>
      </c>
      <c r="C51" s="108" t="s">
        <v>114</v>
      </c>
      <c r="D51" s="31">
        <v>4</v>
      </c>
      <c r="E51" s="37">
        <v>2</v>
      </c>
      <c r="F51" s="253">
        <v>2</v>
      </c>
      <c r="G51" s="253">
        <v>2</v>
      </c>
      <c r="H51" s="33" t="s">
        <v>115</v>
      </c>
      <c r="I51" s="204" t="s">
        <v>116</v>
      </c>
      <c r="J51" s="180">
        <v>1</v>
      </c>
      <c r="K51" s="162">
        <v>1</v>
      </c>
      <c r="L51" s="162">
        <v>1</v>
      </c>
      <c r="M51" s="162">
        <v>1</v>
      </c>
      <c r="N51" s="329" t="s">
        <v>117</v>
      </c>
      <c r="O51" s="151" t="s">
        <v>118</v>
      </c>
      <c r="P51" s="5"/>
    </row>
    <row r="52" spans="2:16" ht="48">
      <c r="B52" s="39" t="s">
        <v>67</v>
      </c>
      <c r="C52" s="108" t="s">
        <v>119</v>
      </c>
      <c r="D52" s="31">
        <v>2</v>
      </c>
      <c r="E52" s="37">
        <v>1.04</v>
      </c>
      <c r="F52" s="253">
        <v>5</v>
      </c>
      <c r="G52" s="253">
        <v>26</v>
      </c>
      <c r="H52" s="33" t="s">
        <v>120</v>
      </c>
      <c r="I52" s="204" t="s">
        <v>121</v>
      </c>
      <c r="J52" s="180">
        <v>1</v>
      </c>
      <c r="K52" s="162">
        <v>1</v>
      </c>
      <c r="L52" s="162">
        <v>2</v>
      </c>
      <c r="M52" s="162">
        <v>5</v>
      </c>
      <c r="N52" s="356" t="s">
        <v>117</v>
      </c>
      <c r="O52" s="162" t="s">
        <v>122</v>
      </c>
      <c r="P52" s="5"/>
    </row>
    <row r="53" spans="2:16" ht="36">
      <c r="B53" s="39" t="s">
        <v>123</v>
      </c>
      <c r="C53" s="108" t="s">
        <v>124</v>
      </c>
      <c r="D53" s="31">
        <v>4</v>
      </c>
      <c r="E53" s="37">
        <v>4</v>
      </c>
      <c r="F53" s="253">
        <v>2</v>
      </c>
      <c r="G53" s="253">
        <v>6</v>
      </c>
      <c r="H53" s="33" t="s">
        <v>125</v>
      </c>
      <c r="I53" s="204" t="s">
        <v>126</v>
      </c>
      <c r="J53" s="180">
        <v>1</v>
      </c>
      <c r="K53" s="162">
        <v>1</v>
      </c>
      <c r="L53" s="162">
        <v>1</v>
      </c>
      <c r="M53" s="162">
        <v>2</v>
      </c>
      <c r="N53" s="329">
        <v>2015</v>
      </c>
      <c r="O53" s="299" t="s">
        <v>127</v>
      </c>
      <c r="P53" s="5"/>
    </row>
    <row r="54" spans="2:16" ht="48">
      <c r="B54" s="39" t="s">
        <v>128</v>
      </c>
      <c r="C54" s="109" t="s">
        <v>129</v>
      </c>
      <c r="D54" s="31">
        <v>2</v>
      </c>
      <c r="E54" s="37">
        <v>1</v>
      </c>
      <c r="F54" s="253">
        <v>3.3</v>
      </c>
      <c r="G54" s="253">
        <v>6.6</v>
      </c>
      <c r="H54" s="33"/>
      <c r="I54" s="205" t="s">
        <v>130</v>
      </c>
      <c r="J54" s="180">
        <v>1</v>
      </c>
      <c r="K54" s="162">
        <v>1</v>
      </c>
      <c r="L54" s="162">
        <v>1</v>
      </c>
      <c r="M54" s="162">
        <v>1</v>
      </c>
      <c r="N54" s="329">
        <v>2015</v>
      </c>
      <c r="O54" s="151" t="s">
        <v>118</v>
      </c>
      <c r="P54" s="5"/>
    </row>
    <row r="55" spans="2:16" ht="48">
      <c r="B55" s="39" t="s">
        <v>131</v>
      </c>
      <c r="C55" s="109" t="s">
        <v>132</v>
      </c>
      <c r="D55" s="31">
        <v>2</v>
      </c>
      <c r="E55" s="37">
        <v>0.7</v>
      </c>
      <c r="F55" s="253">
        <v>1.1</v>
      </c>
      <c r="G55" s="253">
        <v>2.2</v>
      </c>
      <c r="H55" s="33"/>
      <c r="I55" s="205" t="s">
        <v>130</v>
      </c>
      <c r="J55" s="180">
        <v>1</v>
      </c>
      <c r="K55" s="150">
        <v>1</v>
      </c>
      <c r="L55" s="150">
        <v>1</v>
      </c>
      <c r="M55" s="150">
        <v>1</v>
      </c>
      <c r="N55" s="339">
        <v>2015</v>
      </c>
      <c r="O55" s="151" t="s">
        <v>118</v>
      </c>
      <c r="P55" s="5"/>
    </row>
    <row r="56" spans="2:16" ht="48">
      <c r="B56" s="39" t="s">
        <v>133</v>
      </c>
      <c r="C56" s="109" t="s">
        <v>134</v>
      </c>
      <c r="D56" s="31">
        <v>2</v>
      </c>
      <c r="E56" s="37">
        <v>1</v>
      </c>
      <c r="F56" s="253">
        <v>2</v>
      </c>
      <c r="G56" s="253">
        <v>7.8</v>
      </c>
      <c r="H56" s="33"/>
      <c r="I56" s="205" t="s">
        <v>130</v>
      </c>
      <c r="J56" s="180">
        <v>1</v>
      </c>
      <c r="K56" s="171">
        <v>1</v>
      </c>
      <c r="L56" s="171">
        <v>1</v>
      </c>
      <c r="M56" s="171">
        <v>1</v>
      </c>
      <c r="N56" s="345">
        <v>2015</v>
      </c>
      <c r="O56" s="151" t="s">
        <v>118</v>
      </c>
      <c r="P56" s="5"/>
    </row>
    <row r="57" spans="2:16" ht="36">
      <c r="B57" s="39" t="s">
        <v>135</v>
      </c>
      <c r="C57" s="109" t="s">
        <v>136</v>
      </c>
      <c r="D57" s="31">
        <v>2</v>
      </c>
      <c r="E57" s="37">
        <v>0.7</v>
      </c>
      <c r="F57" s="253">
        <v>2.5</v>
      </c>
      <c r="G57" s="253">
        <v>5</v>
      </c>
      <c r="H57" s="33"/>
      <c r="I57" s="205" t="s">
        <v>137</v>
      </c>
      <c r="J57" s="180">
        <v>1</v>
      </c>
      <c r="K57" s="171">
        <v>1</v>
      </c>
      <c r="L57" s="171">
        <v>1</v>
      </c>
      <c r="M57" s="171">
        <v>1</v>
      </c>
      <c r="N57" s="345">
        <v>2015</v>
      </c>
      <c r="O57" s="151" t="s">
        <v>118</v>
      </c>
      <c r="P57" s="5"/>
    </row>
    <row r="58" spans="2:16" ht="36">
      <c r="B58" s="39" t="s">
        <v>138</v>
      </c>
      <c r="C58" s="109" t="s">
        <v>139</v>
      </c>
      <c r="D58" s="31">
        <v>2</v>
      </c>
      <c r="E58" s="37">
        <v>3</v>
      </c>
      <c r="F58" s="253"/>
      <c r="G58" s="253"/>
      <c r="H58" s="33"/>
      <c r="I58" s="205" t="s">
        <v>140</v>
      </c>
      <c r="J58" s="180">
        <v>1</v>
      </c>
      <c r="K58" s="171">
        <v>1</v>
      </c>
      <c r="L58" s="171"/>
      <c r="M58" s="171"/>
      <c r="N58" s="330">
        <v>2015</v>
      </c>
      <c r="O58" s="151" t="s">
        <v>118</v>
      </c>
      <c r="P58" s="5"/>
    </row>
    <row r="59" spans="2:16" ht="12.75">
      <c r="B59" s="39" t="s">
        <v>141</v>
      </c>
      <c r="C59" s="109" t="s">
        <v>142</v>
      </c>
      <c r="D59" s="31">
        <v>1</v>
      </c>
      <c r="E59" s="37">
        <v>4</v>
      </c>
      <c r="F59" s="253"/>
      <c r="G59" s="253"/>
      <c r="H59" s="33"/>
      <c r="I59" s="205" t="s">
        <v>143</v>
      </c>
      <c r="J59" s="180">
        <v>1</v>
      </c>
      <c r="K59" s="171">
        <v>1</v>
      </c>
      <c r="L59" s="171"/>
      <c r="M59" s="171"/>
      <c r="N59" s="330">
        <v>2015</v>
      </c>
      <c r="O59" s="151"/>
      <c r="P59" s="5"/>
    </row>
    <row r="60" spans="2:16" ht="24.75" thickBot="1">
      <c r="B60" s="106" t="s">
        <v>144</v>
      </c>
      <c r="C60" s="115" t="s">
        <v>145</v>
      </c>
      <c r="D60" s="35"/>
      <c r="E60" s="40" t="s">
        <v>146</v>
      </c>
      <c r="F60" s="254"/>
      <c r="G60" s="254"/>
      <c r="H60" s="196" t="s">
        <v>147</v>
      </c>
      <c r="I60" s="211" t="s">
        <v>148</v>
      </c>
      <c r="J60" s="183"/>
      <c r="K60" s="163" t="s">
        <v>146</v>
      </c>
      <c r="L60" s="163"/>
      <c r="M60" s="163"/>
      <c r="N60" s="346"/>
      <c r="O60" s="164" t="s">
        <v>149</v>
      </c>
      <c r="P60" s="77"/>
    </row>
    <row r="61" spans="2:16" ht="13.5" thickTop="1">
      <c r="B61" s="218" t="s">
        <v>9</v>
      </c>
      <c r="C61" s="219" t="s">
        <v>7</v>
      </c>
      <c r="D61" s="126"/>
      <c r="E61" s="36">
        <f>SUM(E62:E66)</f>
        <v>31</v>
      </c>
      <c r="F61" s="36">
        <f>SUM(F62:F66)</f>
        <v>12</v>
      </c>
      <c r="G61" s="36">
        <f>SUM(G62:G66)</f>
        <v>30</v>
      </c>
      <c r="H61" s="197"/>
      <c r="I61" s="216" t="s">
        <v>7</v>
      </c>
      <c r="J61" s="157"/>
      <c r="K61" s="158">
        <f>SUM(K62:K66)</f>
        <v>22</v>
      </c>
      <c r="L61" s="158">
        <f>SUM(L62:L66)</f>
        <v>6</v>
      </c>
      <c r="M61" s="158">
        <f>SUM(M62:M66)</f>
        <v>15</v>
      </c>
      <c r="N61" s="344"/>
      <c r="O61" s="159"/>
      <c r="P61" s="396"/>
    </row>
    <row r="62" spans="2:16" ht="24">
      <c r="B62" s="103" t="s">
        <v>178</v>
      </c>
      <c r="C62" s="105" t="s">
        <v>196</v>
      </c>
      <c r="D62" s="28">
        <v>2</v>
      </c>
      <c r="E62" s="66">
        <v>6</v>
      </c>
      <c r="F62" s="255">
        <v>6</v>
      </c>
      <c r="G62" s="255">
        <v>15</v>
      </c>
      <c r="H62" s="29" t="s">
        <v>179</v>
      </c>
      <c r="I62" s="204" t="s">
        <v>196</v>
      </c>
      <c r="J62" s="325">
        <v>2</v>
      </c>
      <c r="K62" s="165">
        <v>3</v>
      </c>
      <c r="L62" s="165">
        <v>3</v>
      </c>
      <c r="M62" s="352">
        <v>7.5</v>
      </c>
      <c r="N62" s="347">
        <v>2012</v>
      </c>
      <c r="O62" s="166" t="s">
        <v>179</v>
      </c>
      <c r="P62" s="298"/>
    </row>
    <row r="63" spans="2:16" ht="22.5" customHeight="1">
      <c r="B63" s="18" t="s">
        <v>182</v>
      </c>
      <c r="C63" s="108" t="s">
        <v>23</v>
      </c>
      <c r="D63" s="22">
        <v>2</v>
      </c>
      <c r="E63" s="53">
        <v>1</v>
      </c>
      <c r="F63" s="13">
        <v>0</v>
      </c>
      <c r="G63" s="256">
        <v>0</v>
      </c>
      <c r="H63" s="29" t="s">
        <v>201</v>
      </c>
      <c r="I63" s="204" t="s">
        <v>23</v>
      </c>
      <c r="J63" s="161">
        <v>2</v>
      </c>
      <c r="K63" s="165">
        <v>1</v>
      </c>
      <c r="L63" s="130">
        <v>0</v>
      </c>
      <c r="M63" s="130">
        <v>0</v>
      </c>
      <c r="N63" s="347">
        <v>2012</v>
      </c>
      <c r="O63" s="169" t="s">
        <v>201</v>
      </c>
      <c r="P63" s="61"/>
    </row>
    <row r="64" spans="2:16" ht="25.5">
      <c r="B64" s="18" t="s">
        <v>180</v>
      </c>
      <c r="C64" s="116" t="s">
        <v>23</v>
      </c>
      <c r="D64" s="22">
        <v>2</v>
      </c>
      <c r="E64" s="53">
        <v>6</v>
      </c>
      <c r="F64" s="13">
        <v>6</v>
      </c>
      <c r="G64" s="256">
        <v>15</v>
      </c>
      <c r="H64" s="4" t="s">
        <v>181</v>
      </c>
      <c r="I64" s="202" t="s">
        <v>23</v>
      </c>
      <c r="J64" s="323">
        <v>2</v>
      </c>
      <c r="K64" s="130">
        <v>3</v>
      </c>
      <c r="L64" s="130">
        <v>3</v>
      </c>
      <c r="M64" s="353">
        <v>7.5</v>
      </c>
      <c r="N64" s="348">
        <v>2012</v>
      </c>
      <c r="O64" s="169" t="s">
        <v>181</v>
      </c>
      <c r="P64" s="61"/>
    </row>
    <row r="65" spans="2:16" ht="38.25">
      <c r="B65" s="19" t="s">
        <v>197</v>
      </c>
      <c r="C65" s="116" t="s">
        <v>23</v>
      </c>
      <c r="D65" s="3">
        <v>1</v>
      </c>
      <c r="E65" s="13">
        <v>8</v>
      </c>
      <c r="F65" s="13">
        <v>0</v>
      </c>
      <c r="G65" s="53">
        <v>0</v>
      </c>
      <c r="H65" s="4" t="s">
        <v>202</v>
      </c>
      <c r="I65" s="202" t="s">
        <v>23</v>
      </c>
      <c r="J65" s="323">
        <v>1</v>
      </c>
      <c r="K65" s="130">
        <v>5</v>
      </c>
      <c r="L65" s="130">
        <v>0</v>
      </c>
      <c r="M65" s="353">
        <v>0</v>
      </c>
      <c r="N65" s="348">
        <v>2012</v>
      </c>
      <c r="O65" s="169" t="s">
        <v>202</v>
      </c>
      <c r="P65" s="61"/>
    </row>
    <row r="66" spans="2:16" ht="39" thickBot="1">
      <c r="B66" s="17" t="s">
        <v>195</v>
      </c>
      <c r="C66" s="117" t="s">
        <v>23</v>
      </c>
      <c r="D66" s="54">
        <v>1</v>
      </c>
      <c r="E66" s="357">
        <v>10</v>
      </c>
      <c r="F66" s="357">
        <v>0</v>
      </c>
      <c r="G66" s="358">
        <v>0</v>
      </c>
      <c r="H66" s="10"/>
      <c r="I66" s="212" t="s">
        <v>23</v>
      </c>
      <c r="J66" s="181">
        <v>1</v>
      </c>
      <c r="K66" s="170">
        <v>10</v>
      </c>
      <c r="L66" s="270">
        <v>0</v>
      </c>
      <c r="M66" s="170">
        <v>0</v>
      </c>
      <c r="N66" s="345"/>
      <c r="O66" s="149"/>
      <c r="P66" s="80"/>
    </row>
    <row r="67" spans="2:16" ht="13.5" thickTop="1">
      <c r="B67" s="218" t="s">
        <v>17</v>
      </c>
      <c r="C67" s="219" t="s">
        <v>7</v>
      </c>
      <c r="D67" s="126"/>
      <c r="E67" s="368">
        <f>SUM(E68:E73)</f>
        <v>12.32</v>
      </c>
      <c r="F67" s="370">
        <f>SUM(F68:F73)</f>
        <v>17.5</v>
      </c>
      <c r="G67" s="36">
        <f>SUM(G68:G73)</f>
        <v>20</v>
      </c>
      <c r="H67" s="198" t="s">
        <v>214</v>
      </c>
      <c r="I67" s="216" t="s">
        <v>7</v>
      </c>
      <c r="J67" s="157"/>
      <c r="K67" s="158">
        <f>SUM(K68:K73)</f>
        <v>6</v>
      </c>
      <c r="L67" s="375">
        <f>SUM(L68:L73)</f>
        <v>10.35</v>
      </c>
      <c r="M67" s="158">
        <f>SUM(M68:M73)</f>
        <v>12</v>
      </c>
      <c r="N67" s="349"/>
      <c r="O67" s="159" t="s">
        <v>214</v>
      </c>
      <c r="P67" s="395"/>
    </row>
    <row r="68" spans="2:16" ht="24">
      <c r="B68" s="297" t="s">
        <v>203</v>
      </c>
      <c r="C68" s="105" t="s">
        <v>208</v>
      </c>
      <c r="D68" s="324">
        <v>2</v>
      </c>
      <c r="E68" s="365">
        <f>D68*0.7</f>
        <v>1.4</v>
      </c>
      <c r="F68" s="265">
        <v>8</v>
      </c>
      <c r="G68" s="257">
        <v>20</v>
      </c>
      <c r="H68" s="29" t="s">
        <v>217</v>
      </c>
      <c r="I68" s="204" t="s">
        <v>207</v>
      </c>
      <c r="J68" s="325">
        <v>2</v>
      </c>
      <c r="K68" s="371">
        <f>J68*0.4</f>
        <v>0.8</v>
      </c>
      <c r="L68" s="173">
        <v>5</v>
      </c>
      <c r="M68" s="173">
        <v>12</v>
      </c>
      <c r="N68" s="337">
        <v>2020</v>
      </c>
      <c r="O68" s="166" t="s">
        <v>222</v>
      </c>
      <c r="P68" s="298"/>
    </row>
    <row r="69" spans="2:16" ht="25.5">
      <c r="B69" s="19" t="s">
        <v>204</v>
      </c>
      <c r="C69" s="108" t="s">
        <v>23</v>
      </c>
      <c r="D69" s="28">
        <v>2</v>
      </c>
      <c r="E69" s="52">
        <f>D69*1</f>
        <v>2</v>
      </c>
      <c r="F69" s="266">
        <v>3</v>
      </c>
      <c r="G69" s="258"/>
      <c r="H69" s="29"/>
      <c r="I69" s="204" t="s">
        <v>23</v>
      </c>
      <c r="J69" s="161">
        <v>2</v>
      </c>
      <c r="K69" s="372">
        <f>J69*0.3</f>
        <v>0.6</v>
      </c>
      <c r="L69" s="174">
        <v>2</v>
      </c>
      <c r="M69" s="174"/>
      <c r="N69" s="350"/>
      <c r="O69" s="147"/>
      <c r="P69" s="61"/>
    </row>
    <row r="70" spans="2:16" ht="12.75">
      <c r="B70" s="18" t="s">
        <v>205</v>
      </c>
      <c r="C70" s="116" t="s">
        <v>23</v>
      </c>
      <c r="D70" s="22">
        <v>2</v>
      </c>
      <c r="E70" s="53">
        <f>D70*1</f>
        <v>2</v>
      </c>
      <c r="F70" s="13">
        <v>3</v>
      </c>
      <c r="G70" s="256"/>
      <c r="H70" s="4" t="s">
        <v>211</v>
      </c>
      <c r="I70" s="202" t="s">
        <v>23</v>
      </c>
      <c r="J70" s="323">
        <v>2</v>
      </c>
      <c r="K70" s="353">
        <f>J70*0.3</f>
        <v>0.6</v>
      </c>
      <c r="L70" s="130">
        <v>2</v>
      </c>
      <c r="M70" s="130"/>
      <c r="N70" s="348"/>
      <c r="O70" s="169" t="s">
        <v>221</v>
      </c>
      <c r="P70" s="61"/>
    </row>
    <row r="71" spans="2:16" ht="12.75">
      <c r="B71" s="18" t="s">
        <v>206</v>
      </c>
      <c r="C71" s="116" t="s">
        <v>23</v>
      </c>
      <c r="D71" s="22">
        <v>2</v>
      </c>
      <c r="E71" s="53">
        <f>D71*1</f>
        <v>2</v>
      </c>
      <c r="F71" s="369">
        <v>3.5</v>
      </c>
      <c r="G71" s="256"/>
      <c r="H71" s="4" t="s">
        <v>209</v>
      </c>
      <c r="I71" s="202" t="s">
        <v>23</v>
      </c>
      <c r="J71" s="323">
        <v>2</v>
      </c>
      <c r="K71" s="353">
        <f>J71*0.5</f>
        <v>1</v>
      </c>
      <c r="L71" s="374">
        <v>1.35</v>
      </c>
      <c r="M71" s="130"/>
      <c r="N71" s="348"/>
      <c r="O71" s="169" t="s">
        <v>212</v>
      </c>
      <c r="P71" s="61"/>
    </row>
    <row r="72" spans="2:16" ht="12.75">
      <c r="B72" s="19" t="s">
        <v>138</v>
      </c>
      <c r="C72" s="116" t="s">
        <v>23</v>
      </c>
      <c r="D72" s="22">
        <v>2</v>
      </c>
      <c r="E72" s="367">
        <f>D72*0.7</f>
        <v>1.4</v>
      </c>
      <c r="F72" s="13">
        <v>0</v>
      </c>
      <c r="G72" s="256"/>
      <c r="H72" s="4"/>
      <c r="I72" s="202" t="s">
        <v>23</v>
      </c>
      <c r="J72" s="323">
        <v>2</v>
      </c>
      <c r="K72" s="353">
        <f>J72*0.5</f>
        <v>1</v>
      </c>
      <c r="L72" s="130">
        <v>0</v>
      </c>
      <c r="M72" s="130"/>
      <c r="N72" s="348"/>
      <c r="O72" s="169"/>
      <c r="P72" s="61"/>
    </row>
    <row r="73" spans="2:16" ht="13.5" thickBot="1">
      <c r="B73" s="17" t="s">
        <v>141</v>
      </c>
      <c r="C73" s="117" t="s">
        <v>23</v>
      </c>
      <c r="D73" s="54">
        <v>2</v>
      </c>
      <c r="E73" s="366">
        <f>D73*1.76</f>
        <v>3.52</v>
      </c>
      <c r="F73" s="9">
        <v>0</v>
      </c>
      <c r="G73" s="264"/>
      <c r="H73" s="10" t="s">
        <v>210</v>
      </c>
      <c r="I73" s="212" t="s">
        <v>23</v>
      </c>
      <c r="J73" s="181">
        <v>2</v>
      </c>
      <c r="K73" s="373">
        <f>J73*1</f>
        <v>2</v>
      </c>
      <c r="L73" s="171">
        <v>0</v>
      </c>
      <c r="M73" s="171"/>
      <c r="N73" s="345"/>
      <c r="O73" s="149" t="s">
        <v>213</v>
      </c>
      <c r="P73" s="80"/>
    </row>
    <row r="74" spans="2:16" ht="13.5" thickTop="1">
      <c r="B74" s="220" t="s">
        <v>2</v>
      </c>
      <c r="C74" s="222" t="s">
        <v>7</v>
      </c>
      <c r="D74" s="221"/>
      <c r="E74" s="1">
        <f>SUM(E75:E82)</f>
        <v>3363.225</v>
      </c>
      <c r="F74" s="1">
        <f>SUM(F75:F82)</f>
        <v>0</v>
      </c>
      <c r="G74" s="1">
        <f>SUM(G75:G82)</f>
        <v>0</v>
      </c>
      <c r="H74" s="191"/>
      <c r="I74" s="217" t="s">
        <v>7</v>
      </c>
      <c r="J74" s="175"/>
      <c r="K74" s="145">
        <f>SUM(K75:K82)</f>
        <v>544.7</v>
      </c>
      <c r="L74" s="145">
        <f>SUM(L75:L82)</f>
        <v>0</v>
      </c>
      <c r="M74" s="145">
        <f>SUM(M75:M82)</f>
        <v>0</v>
      </c>
      <c r="N74" s="336"/>
      <c r="O74" s="139"/>
      <c r="P74" s="395"/>
    </row>
    <row r="75" spans="2:16" ht="12.75" customHeight="1">
      <c r="B75" s="43" t="s">
        <v>40</v>
      </c>
      <c r="C75" s="108" t="s">
        <v>31</v>
      </c>
      <c r="D75" s="3">
        <v>1</v>
      </c>
      <c r="E75" s="52">
        <f>0.12*(5800)</f>
        <v>696</v>
      </c>
      <c r="F75" s="266"/>
      <c r="G75" s="258"/>
      <c r="H75" s="29" t="s">
        <v>234</v>
      </c>
      <c r="I75" s="204" t="s">
        <v>31</v>
      </c>
      <c r="J75" s="167">
        <v>1</v>
      </c>
      <c r="K75" s="174">
        <f>0.06*1200</f>
        <v>72</v>
      </c>
      <c r="L75" s="174"/>
      <c r="M75" s="174"/>
      <c r="N75" s="350"/>
      <c r="O75" s="147" t="s">
        <v>235</v>
      </c>
      <c r="P75" s="50"/>
    </row>
    <row r="76" spans="2:16" ht="13.5">
      <c r="B76" s="60" t="s">
        <v>236</v>
      </c>
      <c r="C76" s="108" t="s">
        <v>56</v>
      </c>
      <c r="D76" s="376">
        <v>1</v>
      </c>
      <c r="E76" s="52">
        <f>5*452</f>
        <v>2260</v>
      </c>
      <c r="F76" s="266"/>
      <c r="G76" s="258"/>
      <c r="H76" s="41" t="s">
        <v>55</v>
      </c>
      <c r="I76" s="204" t="s">
        <v>35</v>
      </c>
      <c r="J76" s="167">
        <v>1</v>
      </c>
      <c r="K76" s="174">
        <v>452</v>
      </c>
      <c r="L76" s="174"/>
      <c r="M76" s="174"/>
      <c r="N76" s="350"/>
      <c r="O76" s="147" t="s">
        <v>237</v>
      </c>
      <c r="P76" s="82"/>
    </row>
    <row r="77" spans="2:16" ht="23.25" customHeight="1">
      <c r="B77" s="60" t="s">
        <v>238</v>
      </c>
      <c r="C77" s="108" t="s">
        <v>224</v>
      </c>
      <c r="D77" s="376">
        <v>1</v>
      </c>
      <c r="E77" s="52">
        <v>200</v>
      </c>
      <c r="F77" s="266"/>
      <c r="G77" s="258"/>
      <c r="H77" s="41" t="s">
        <v>239</v>
      </c>
      <c r="I77" s="204" t="s">
        <v>224</v>
      </c>
      <c r="J77" s="167">
        <v>1</v>
      </c>
      <c r="K77" s="174">
        <v>0</v>
      </c>
      <c r="L77" s="174"/>
      <c r="M77" s="174"/>
      <c r="N77" s="350"/>
      <c r="O77" s="147" t="s">
        <v>240</v>
      </c>
      <c r="P77" s="15"/>
    </row>
    <row r="78" spans="2:16" ht="12.75" customHeight="1">
      <c r="B78" s="394" t="s">
        <v>29</v>
      </c>
      <c r="C78" s="108" t="s">
        <v>224</v>
      </c>
      <c r="D78" s="376">
        <v>1</v>
      </c>
      <c r="E78" s="52">
        <f>0.15*(E61+E42+E37+E21+E8)</f>
        <v>207.225</v>
      </c>
      <c r="F78" s="266" t="s">
        <v>8</v>
      </c>
      <c r="G78" s="258"/>
      <c r="H78" s="41" t="s">
        <v>225</v>
      </c>
      <c r="I78" s="204" t="s">
        <v>224</v>
      </c>
      <c r="J78" s="167">
        <v>1</v>
      </c>
      <c r="K78" s="174">
        <f>0.1*(K62+K43+K38+K22+K4)</f>
        <v>20.700000000000003</v>
      </c>
      <c r="L78" s="176"/>
      <c r="M78" s="176"/>
      <c r="N78" s="351"/>
      <c r="O78" s="147" t="s">
        <v>226</v>
      </c>
      <c r="P78" s="15"/>
    </row>
    <row r="79" spans="2:18" ht="12.75">
      <c r="B79" s="39"/>
      <c r="C79" s="388"/>
      <c r="D79" s="376"/>
      <c r="E79" s="13"/>
      <c r="F79" s="13"/>
      <c r="G79" s="256"/>
      <c r="H79" s="389"/>
      <c r="I79" s="390"/>
      <c r="J79" s="377"/>
      <c r="K79" s="173"/>
      <c r="L79" s="173"/>
      <c r="M79" s="173"/>
      <c r="N79" s="173"/>
      <c r="O79" s="393"/>
      <c r="P79" s="15"/>
      <c r="R79" t="s">
        <v>8</v>
      </c>
    </row>
    <row r="80" spans="2:16" ht="12.75">
      <c r="B80" s="42"/>
      <c r="C80" s="108"/>
      <c r="D80" s="48"/>
      <c r="E80" s="52"/>
      <c r="F80" s="266"/>
      <c r="G80" s="258"/>
      <c r="H80" s="41"/>
      <c r="I80" s="204"/>
      <c r="J80" s="167"/>
      <c r="K80" s="150"/>
      <c r="L80" s="150"/>
      <c r="M80" s="150"/>
      <c r="N80" s="339"/>
      <c r="O80" s="177"/>
      <c r="P80" s="15"/>
    </row>
    <row r="81" spans="2:16" ht="12.75">
      <c r="B81" s="19"/>
      <c r="C81" s="116"/>
      <c r="D81" s="184"/>
      <c r="E81" s="53"/>
      <c r="F81" s="13"/>
      <c r="G81" s="256"/>
      <c r="H81" s="4"/>
      <c r="I81" s="202"/>
      <c r="J81" s="168"/>
      <c r="K81" s="150"/>
      <c r="L81" s="150"/>
      <c r="M81" s="150"/>
      <c r="N81" s="339"/>
      <c r="O81" s="169"/>
      <c r="P81" s="44"/>
    </row>
    <row r="82" spans="2:16" ht="13.5" thickBot="1">
      <c r="B82" s="17"/>
      <c r="C82" s="117"/>
      <c r="D82" s="54"/>
      <c r="E82" s="9"/>
      <c r="F82" s="9"/>
      <c r="G82" s="264"/>
      <c r="H82" s="10"/>
      <c r="I82" s="212"/>
      <c r="J82" s="181"/>
      <c r="K82" s="153"/>
      <c r="L82" s="153"/>
      <c r="M82" s="153"/>
      <c r="N82" s="340"/>
      <c r="O82" s="149"/>
      <c r="P82" s="79"/>
    </row>
    <row r="83" spans="2:16" ht="16.5" thickTop="1">
      <c r="B83" s="57"/>
      <c r="C83" s="283" t="s">
        <v>13</v>
      </c>
      <c r="D83" s="278"/>
      <c r="E83" s="280">
        <f>E8+E13+E21+E26+E42+E61+E67+E74</f>
        <v>4578.195</v>
      </c>
      <c r="F83" s="277">
        <f>F8+F13+F21+F26++F37+F42+F61+F67+F74</f>
        <v>1332.9000000000003</v>
      </c>
      <c r="G83" s="259">
        <f>G8+G13+G21+G26+G37+G42+G61+G67+G74</f>
        <v>2433.1</v>
      </c>
      <c r="H83" s="282" t="s">
        <v>74</v>
      </c>
      <c r="I83" s="283" t="s">
        <v>13</v>
      </c>
      <c r="J83" s="23"/>
      <c r="K83" s="280">
        <f>K8+K13+K21+K26+K42+K61+K67+K74</f>
        <v>1003.214</v>
      </c>
      <c r="L83" s="277">
        <f>L8+L13+L21+L26+L37+L42+L61+L67+L74</f>
        <v>613.85</v>
      </c>
      <c r="M83" s="259">
        <f>M8+M13+M21+M26+M37+M42+M61+M67+M74</f>
        <v>1725</v>
      </c>
      <c r="N83" s="224"/>
      <c r="O83" s="286" t="s">
        <v>74</v>
      </c>
      <c r="P83" s="95"/>
    </row>
    <row r="84" spans="2:16" ht="15.75">
      <c r="B84" s="57"/>
      <c r="C84" s="284" t="s">
        <v>12</v>
      </c>
      <c r="D84" s="278"/>
      <c r="E84" s="281">
        <f>E83+E37</f>
        <v>5862.195</v>
      </c>
      <c r="F84" s="279"/>
      <c r="G84" s="259"/>
      <c r="H84" s="199"/>
      <c r="I84" s="285" t="s">
        <v>12</v>
      </c>
      <c r="J84" s="23"/>
      <c r="K84" s="281">
        <f>K83+K37</f>
        <v>1197.214</v>
      </c>
      <c r="L84" s="279"/>
      <c r="M84" s="23"/>
      <c r="N84" s="225"/>
      <c r="O84" s="225"/>
      <c r="P84" s="96"/>
    </row>
    <row r="85" spans="2:16" ht="16.5" thickBot="1">
      <c r="B85" s="58"/>
      <c r="C85" s="97"/>
      <c r="D85" s="98"/>
      <c r="E85" s="99"/>
      <c r="F85" s="99"/>
      <c r="G85" s="99"/>
      <c r="H85" s="100"/>
      <c r="I85" s="98"/>
      <c r="J85" s="100"/>
      <c r="K85" s="100"/>
      <c r="L85" s="100"/>
      <c r="M85" s="100"/>
      <c r="N85" s="100"/>
      <c r="O85" s="100"/>
      <c r="P85" s="101"/>
    </row>
    <row r="87" ht="20.25">
      <c r="A87" s="91"/>
    </row>
    <row r="88" spans="1:15" ht="20.25">
      <c r="A88" s="91"/>
      <c r="E88" s="20"/>
      <c r="F88" s="20"/>
      <c r="G88" s="20"/>
      <c r="H88" s="20"/>
      <c r="O88" t="s">
        <v>8</v>
      </c>
    </row>
    <row r="89" ht="20.25">
      <c r="A89" s="91"/>
    </row>
    <row r="91" spans="7:15" ht="20.25" customHeight="1">
      <c r="G91" s="275" t="s">
        <v>75</v>
      </c>
      <c r="H91" s="276"/>
      <c r="N91" s="411" t="s">
        <v>34</v>
      </c>
      <c r="O91" s="412"/>
    </row>
    <row r="92" spans="4:15" ht="15">
      <c r="D92" s="21"/>
      <c r="F92" s="271"/>
      <c r="G92" s="24" t="s">
        <v>0</v>
      </c>
      <c r="H92" s="274" t="s">
        <v>4</v>
      </c>
      <c r="I92" s="21"/>
      <c r="N92" s="24" t="s">
        <v>0</v>
      </c>
      <c r="O92" s="24" t="s">
        <v>4</v>
      </c>
    </row>
    <row r="93" spans="6:15" ht="12.75">
      <c r="F93" s="272"/>
      <c r="G93" s="22" t="str">
        <f>B8</f>
        <v>Payload</v>
      </c>
      <c r="H93" s="104">
        <f>E8</f>
        <v>0</v>
      </c>
      <c r="N93" s="22" t="str">
        <f>B8</f>
        <v>Payload</v>
      </c>
      <c r="O93" s="104">
        <f>K8</f>
        <v>0</v>
      </c>
    </row>
    <row r="94" spans="6:15" ht="12.75">
      <c r="F94" s="272"/>
      <c r="G94" s="22" t="str">
        <f>B13</f>
        <v> Power</v>
      </c>
      <c r="H94" s="26">
        <f>E13</f>
        <v>615.55</v>
      </c>
      <c r="N94" s="22" t="str">
        <f>B13</f>
        <v> Power</v>
      </c>
      <c r="O94" s="26">
        <f>K13</f>
        <v>200</v>
      </c>
    </row>
    <row r="95" spans="6:15" ht="12.75">
      <c r="F95" s="272"/>
      <c r="G95" s="22" t="str">
        <f>B21</f>
        <v>Thermal</v>
      </c>
      <c r="H95" s="26">
        <f>E21</f>
        <v>17.5</v>
      </c>
      <c r="N95" s="22" t="str">
        <f>B21</f>
        <v>Thermal</v>
      </c>
      <c r="O95" s="26">
        <f>K21</f>
        <v>10</v>
      </c>
    </row>
    <row r="96" spans="4:15" s="21" customFormat="1" ht="15" customHeight="1">
      <c r="D96"/>
      <c r="F96" s="272"/>
      <c r="G96" s="22" t="str">
        <f>B26</f>
        <v>Propulsion</v>
      </c>
      <c r="H96" s="26">
        <f>E26</f>
        <v>489.6</v>
      </c>
      <c r="I96"/>
      <c r="N96" s="22" t="str">
        <f>B26</f>
        <v>Propulsion</v>
      </c>
      <c r="O96" s="26">
        <f>K26</f>
        <v>199.51399999999998</v>
      </c>
    </row>
    <row r="97" spans="6:15" ht="12.75">
      <c r="F97" s="272"/>
      <c r="G97" s="22" t="str">
        <f>B37</f>
        <v>Propellant </v>
      </c>
      <c r="H97" s="26">
        <f>E37</f>
        <v>1284</v>
      </c>
      <c r="N97" s="22" t="str">
        <f>B37</f>
        <v>Propellant </v>
      </c>
      <c r="O97" s="26">
        <f>K37</f>
        <v>194</v>
      </c>
    </row>
    <row r="98" spans="6:15" ht="12.75">
      <c r="F98" s="272"/>
      <c r="G98" s="22" t="str">
        <f>B42</f>
        <v>GNC</v>
      </c>
      <c r="H98" s="26">
        <f>E42</f>
        <v>49.00000000000001</v>
      </c>
      <c r="N98" s="22" t="str">
        <f>B42</f>
        <v>GNC</v>
      </c>
      <c r="O98" s="26">
        <f>K42</f>
        <v>21</v>
      </c>
    </row>
    <row r="99" spans="6:15" ht="12.75">
      <c r="F99" s="272"/>
      <c r="G99" s="22" t="str">
        <f>B61</f>
        <v>Comm</v>
      </c>
      <c r="H99" s="26">
        <f>E61</f>
        <v>31</v>
      </c>
      <c r="N99" s="22" t="str">
        <f>B61</f>
        <v>Comm</v>
      </c>
      <c r="O99" s="26">
        <f>K61</f>
        <v>22</v>
      </c>
    </row>
    <row r="100" spans="6:15" ht="12.75">
      <c r="F100" s="272"/>
      <c r="G100" s="22" t="str">
        <f>B67</f>
        <v>C&amp;DH</v>
      </c>
      <c r="H100" s="26">
        <f>E67</f>
        <v>12.32</v>
      </c>
      <c r="N100" s="22" t="str">
        <f>B67</f>
        <v>C&amp;DH</v>
      </c>
      <c r="O100" s="26">
        <f>K67</f>
        <v>6</v>
      </c>
    </row>
    <row r="101" spans="6:15" ht="12.75">
      <c r="F101" s="272"/>
      <c r="G101" s="22" t="str">
        <f>B74</f>
        <v>Structure </v>
      </c>
      <c r="H101" s="26">
        <f>E74</f>
        <v>3363.225</v>
      </c>
      <c r="N101" s="22" t="str">
        <f>B74</f>
        <v>Structure </v>
      </c>
      <c r="O101" s="26">
        <f>K74</f>
        <v>544.7</v>
      </c>
    </row>
    <row r="102" spans="6:16" ht="25.5">
      <c r="F102" s="273"/>
      <c r="G102" s="25" t="s">
        <v>13</v>
      </c>
      <c r="H102" s="27">
        <f>SUM(H93:H101)-H97</f>
        <v>4578.195</v>
      </c>
      <c r="I102" s="289"/>
      <c r="N102" s="25" t="s">
        <v>13</v>
      </c>
      <c r="O102" s="27">
        <f>SUM(O93:O101)-O97</f>
        <v>1003.2139999999999</v>
      </c>
      <c r="P102" s="289"/>
    </row>
    <row r="103" spans="6:16" ht="25.5">
      <c r="F103" s="273"/>
      <c r="G103" s="25" t="s">
        <v>12</v>
      </c>
      <c r="H103" s="27">
        <f>SUM(H93:H101)</f>
        <v>5862.195</v>
      </c>
      <c r="I103" s="289"/>
      <c r="N103" s="25" t="s">
        <v>12</v>
      </c>
      <c r="O103" s="27">
        <f>SUM(O93:O101)</f>
        <v>1197.214</v>
      </c>
      <c r="P103" s="289"/>
    </row>
    <row r="106" ht="15">
      <c r="A106" s="92"/>
    </row>
    <row r="108" spans="6:15" ht="20.25">
      <c r="F108" s="275"/>
      <c r="G108" s="288" t="s">
        <v>78</v>
      </c>
      <c r="H108" s="287"/>
      <c r="M108" s="275"/>
      <c r="N108" s="288" t="s">
        <v>189</v>
      </c>
      <c r="O108" s="287"/>
    </row>
    <row r="109" spans="6:15" ht="45">
      <c r="F109" s="24" t="s">
        <v>0</v>
      </c>
      <c r="G109" s="274" t="s">
        <v>76</v>
      </c>
      <c r="H109" s="274" t="s">
        <v>77</v>
      </c>
      <c r="M109" s="24" t="s">
        <v>0</v>
      </c>
      <c r="N109" s="274" t="s">
        <v>76</v>
      </c>
      <c r="O109" s="274" t="s">
        <v>77</v>
      </c>
    </row>
    <row r="110" spans="6:15" ht="12.75">
      <c r="F110" s="22" t="s">
        <v>1</v>
      </c>
      <c r="G110" s="104">
        <f>F8</f>
        <v>0</v>
      </c>
      <c r="H110" s="104">
        <f>G8</f>
        <v>0</v>
      </c>
      <c r="M110" s="22" t="s">
        <v>1</v>
      </c>
      <c r="N110" s="104">
        <f>L8</f>
        <v>0</v>
      </c>
      <c r="O110" s="104">
        <f>M8</f>
        <v>0</v>
      </c>
    </row>
    <row r="111" spans="6:15" ht="12.75">
      <c r="F111" s="22" t="s">
        <v>14</v>
      </c>
      <c r="G111" s="26">
        <f>F13</f>
        <v>0</v>
      </c>
      <c r="H111" s="26">
        <f>G13</f>
        <v>0</v>
      </c>
      <c r="M111" s="22" t="s">
        <v>14</v>
      </c>
      <c r="N111" s="26">
        <f>L13</f>
        <v>0</v>
      </c>
      <c r="O111" s="26">
        <f>M13</f>
        <v>0</v>
      </c>
    </row>
    <row r="112" spans="6:16" ht="12.75">
      <c r="F112" s="22" t="s">
        <v>10</v>
      </c>
      <c r="G112" s="26">
        <f>F21</f>
        <v>142</v>
      </c>
      <c r="H112" s="26">
        <f>G21</f>
        <v>142</v>
      </c>
      <c r="I112" s="400" t="s">
        <v>253</v>
      </c>
      <c r="M112" s="22" t="s">
        <v>10</v>
      </c>
      <c r="N112" s="26">
        <f>L21</f>
        <v>142</v>
      </c>
      <c r="O112" s="26">
        <f>M21</f>
        <v>142</v>
      </c>
      <c r="P112" s="400" t="s">
        <v>253</v>
      </c>
    </row>
    <row r="113" spans="6:16" ht="12.75">
      <c r="F113" s="22" t="s">
        <v>15</v>
      </c>
      <c r="G113" s="26">
        <f>F26</f>
        <v>1005.0000000000002</v>
      </c>
      <c r="H113" s="26">
        <f>G26</f>
        <v>1985</v>
      </c>
      <c r="I113" s="400" t="s">
        <v>253</v>
      </c>
      <c r="M113" s="22" t="s">
        <v>15</v>
      </c>
      <c r="N113" s="26">
        <f>L26</f>
        <v>345</v>
      </c>
      <c r="O113" s="26">
        <f>M26</f>
        <v>1417</v>
      </c>
      <c r="P113" s="400" t="s">
        <v>253</v>
      </c>
    </row>
    <row r="114" spans="6:15" ht="12.75">
      <c r="F114" s="22" t="s">
        <v>16</v>
      </c>
      <c r="G114" s="26">
        <f>F37</f>
        <v>0</v>
      </c>
      <c r="H114" s="26">
        <f>G37</f>
        <v>0</v>
      </c>
      <c r="M114" s="22" t="s">
        <v>16</v>
      </c>
      <c r="N114" s="26">
        <f>L37</f>
        <v>0</v>
      </c>
      <c r="O114" s="26">
        <f>M37</f>
        <v>0</v>
      </c>
    </row>
    <row r="115" spans="6:16" ht="12.75">
      <c r="F115" s="22" t="s">
        <v>66</v>
      </c>
      <c r="G115" s="26">
        <f>F42</f>
        <v>156.4</v>
      </c>
      <c r="H115" s="26">
        <f>G42</f>
        <v>256.1</v>
      </c>
      <c r="M115" s="22" t="s">
        <v>66</v>
      </c>
      <c r="N115" s="26">
        <f>L42</f>
        <v>110.5</v>
      </c>
      <c r="O115" s="26">
        <f>M42</f>
        <v>139</v>
      </c>
      <c r="P115" s="400" t="s">
        <v>253</v>
      </c>
    </row>
    <row r="116" spans="6:15" ht="12.75">
      <c r="F116" s="22" t="s">
        <v>9</v>
      </c>
      <c r="G116" s="26">
        <f>F61</f>
        <v>12</v>
      </c>
      <c r="H116" s="26">
        <f>G61</f>
        <v>30</v>
      </c>
      <c r="M116" s="22" t="s">
        <v>9</v>
      </c>
      <c r="N116" s="26">
        <f>L61</f>
        <v>6</v>
      </c>
      <c r="O116" s="26">
        <f>M61</f>
        <v>15</v>
      </c>
    </row>
    <row r="117" spans="6:15" ht="12.75">
      <c r="F117" s="22" t="s">
        <v>17</v>
      </c>
      <c r="G117" s="26">
        <f>F67</f>
        <v>17.5</v>
      </c>
      <c r="H117" s="26">
        <f>G67</f>
        <v>20</v>
      </c>
      <c r="M117" s="22" t="s">
        <v>17</v>
      </c>
      <c r="N117" s="26">
        <f>L67</f>
        <v>10.35</v>
      </c>
      <c r="O117" s="26">
        <f>M67</f>
        <v>12</v>
      </c>
    </row>
    <row r="118" spans="6:15" ht="12.75">
      <c r="F118" s="22" t="s">
        <v>2</v>
      </c>
      <c r="G118" s="26">
        <f>F74</f>
        <v>0</v>
      </c>
      <c r="H118" s="26">
        <f>G74</f>
        <v>0</v>
      </c>
      <c r="M118" s="22" t="s">
        <v>2</v>
      </c>
      <c r="N118" s="26">
        <f>L74</f>
        <v>0</v>
      </c>
      <c r="O118" s="26">
        <f>M74</f>
        <v>0</v>
      </c>
    </row>
    <row r="119" spans="6:16" ht="25.5">
      <c r="F119" s="25" t="s">
        <v>74</v>
      </c>
      <c r="G119" s="27">
        <f>SUM(G110:G118)</f>
        <v>1332.9000000000003</v>
      </c>
      <c r="H119" s="27">
        <f>SUM(H110:H118)</f>
        <v>2433.1</v>
      </c>
      <c r="I119" s="400" t="s">
        <v>271</v>
      </c>
      <c r="M119" s="25" t="s">
        <v>74</v>
      </c>
      <c r="N119" s="27">
        <f>SUM(N110:N118)</f>
        <v>613.85</v>
      </c>
      <c r="O119" s="27">
        <f>SUM(O110:O118)</f>
        <v>1725</v>
      </c>
      <c r="P119" s="400" t="s">
        <v>255</v>
      </c>
    </row>
  </sheetData>
  <mergeCells count="17">
    <mergeCell ref="B6:B7"/>
    <mergeCell ref="E6:E7"/>
    <mergeCell ref="C6:C7"/>
    <mergeCell ref="D6:D7"/>
    <mergeCell ref="P6:P7"/>
    <mergeCell ref="F6:F7"/>
    <mergeCell ref="G6:G7"/>
    <mergeCell ref="C3:J4"/>
    <mergeCell ref="H6:H7"/>
    <mergeCell ref="J6:J7"/>
    <mergeCell ref="I6:I7"/>
    <mergeCell ref="K6:K7"/>
    <mergeCell ref="N6:N7"/>
    <mergeCell ref="N91:O91"/>
    <mergeCell ref="O6:O7"/>
    <mergeCell ref="L6:L7"/>
    <mergeCell ref="M6:M7"/>
  </mergeCells>
  <printOptions/>
  <pageMargins left="0.75" right="0.75" top="1" bottom="1" header="0.5" footer="0.5"/>
  <pageSetup horizontalDpi="600" verticalDpi="600" orientation="landscape" scale="40" r:id="rId3"/>
  <ignoredErrors>
    <ignoredError sqref="K1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25"/>
  <sheetViews>
    <sheetView zoomScale="75" zoomScaleNormal="75" workbookViewId="0" topLeftCell="D1">
      <pane ySplit="7" topLeftCell="BM105" activePane="bottomLeft" state="frozen"/>
      <selection pane="topLeft" activeCell="A1" sqref="A1"/>
      <selection pane="bottomLeft" activeCell="Q29" sqref="Q29"/>
    </sheetView>
  </sheetViews>
  <sheetFormatPr defaultColWidth="9.140625" defaultRowHeight="12.75"/>
  <cols>
    <col min="1" max="1" width="8.00390625" style="0" customWidth="1"/>
    <col min="2" max="2" width="17.00390625" style="0" customWidth="1"/>
    <col min="3" max="3" width="30.57421875" style="0" customWidth="1"/>
    <col min="4" max="4" width="7.00390625" style="0" customWidth="1"/>
    <col min="5" max="7" width="11.140625" style="0" customWidth="1"/>
    <col min="8" max="8" width="35.28125" style="0" customWidth="1"/>
    <col min="9" max="9" width="30.7109375" style="0" customWidth="1"/>
    <col min="10" max="10" width="7.00390625" style="0" customWidth="1"/>
    <col min="11" max="13" width="11.28125" style="0" customWidth="1"/>
    <col min="14" max="14" width="15.00390625" style="0" customWidth="1"/>
    <col min="15" max="15" width="35.140625" style="0" customWidth="1"/>
    <col min="16" max="16" width="18.28125" style="0" customWidth="1"/>
  </cols>
  <sheetData>
    <row r="2" ht="13.5" thickBot="1">
      <c r="A2" s="72"/>
    </row>
    <row r="3" spans="1:16" s="67" customFormat="1" ht="20.25">
      <c r="A3" s="93"/>
      <c r="B3" s="234"/>
      <c r="C3" s="438" t="s">
        <v>57</v>
      </c>
      <c r="D3" s="439"/>
      <c r="E3" s="439"/>
      <c r="F3" s="439"/>
      <c r="G3" s="439"/>
      <c r="H3" s="439"/>
      <c r="I3" s="439"/>
      <c r="J3" s="439"/>
      <c r="K3" s="235"/>
      <c r="L3" s="235"/>
      <c r="M3" s="235"/>
      <c r="N3" s="235"/>
      <c r="O3" s="235"/>
      <c r="P3" s="236"/>
    </row>
    <row r="4" spans="1:16" ht="21" thickBot="1">
      <c r="A4" s="94"/>
      <c r="B4" s="237"/>
      <c r="C4" s="440"/>
      <c r="D4" s="440"/>
      <c r="E4" s="440"/>
      <c r="F4" s="440"/>
      <c r="G4" s="440"/>
      <c r="H4" s="440"/>
      <c r="I4" s="440"/>
      <c r="J4" s="440"/>
      <c r="K4" s="238"/>
      <c r="L4" s="238"/>
      <c r="M4" s="238"/>
      <c r="N4" s="238"/>
      <c r="O4" s="238"/>
      <c r="P4" s="239"/>
    </row>
    <row r="5" spans="1:16" ht="21" thickBot="1">
      <c r="A5" s="91"/>
      <c r="B5" s="185"/>
      <c r="C5" s="186"/>
      <c r="D5" s="187" t="s">
        <v>37</v>
      </c>
      <c r="E5" s="186"/>
      <c r="F5" s="186"/>
      <c r="G5" s="186"/>
      <c r="H5" s="186"/>
      <c r="I5" s="240"/>
      <c r="J5" s="241"/>
      <c r="K5" s="242" t="s">
        <v>38</v>
      </c>
      <c r="L5" s="242"/>
      <c r="M5" s="242"/>
      <c r="N5" s="243"/>
      <c r="O5" s="243"/>
      <c r="P5" s="244"/>
    </row>
    <row r="6" spans="1:16" ht="20.25" customHeight="1">
      <c r="A6" s="70"/>
      <c r="B6" s="434" t="s">
        <v>0</v>
      </c>
      <c r="C6" s="436" t="s">
        <v>5</v>
      </c>
      <c r="D6" s="419" t="s">
        <v>21</v>
      </c>
      <c r="E6" s="419" t="s">
        <v>33</v>
      </c>
      <c r="F6" s="419" t="s">
        <v>69</v>
      </c>
      <c r="G6" s="419" t="s">
        <v>70</v>
      </c>
      <c r="H6" s="424" t="s">
        <v>3</v>
      </c>
      <c r="I6" s="428" t="s">
        <v>5</v>
      </c>
      <c r="J6" s="426" t="s">
        <v>21</v>
      </c>
      <c r="K6" s="430" t="s">
        <v>32</v>
      </c>
      <c r="L6" s="415" t="s">
        <v>71</v>
      </c>
      <c r="M6" s="415" t="s">
        <v>72</v>
      </c>
      <c r="N6" s="432" t="s">
        <v>73</v>
      </c>
      <c r="O6" s="413" t="s">
        <v>3</v>
      </c>
      <c r="P6" s="417" t="s">
        <v>6</v>
      </c>
    </row>
    <row r="7" spans="1:18" s="72" customFormat="1" ht="33" customHeight="1" thickBot="1">
      <c r="A7" s="73"/>
      <c r="B7" s="435"/>
      <c r="C7" s="437"/>
      <c r="D7" s="420"/>
      <c r="E7" s="420"/>
      <c r="F7" s="420"/>
      <c r="G7" s="420"/>
      <c r="H7" s="425"/>
      <c r="I7" s="429"/>
      <c r="J7" s="427"/>
      <c r="K7" s="431"/>
      <c r="L7" s="416"/>
      <c r="M7" s="416"/>
      <c r="N7" s="433"/>
      <c r="O7" s="414"/>
      <c r="P7" s="418"/>
      <c r="R7" s="107"/>
    </row>
    <row r="8" spans="1:16" ht="15.75" customHeight="1">
      <c r="A8" s="71"/>
      <c r="B8" s="56" t="s">
        <v>1</v>
      </c>
      <c r="C8" s="122" t="s">
        <v>7</v>
      </c>
      <c r="D8" s="68"/>
      <c r="E8" s="1">
        <f>SUM(E9:E12)</f>
        <v>300</v>
      </c>
      <c r="F8" s="1">
        <f>SUM(F9:F12)</f>
        <v>300</v>
      </c>
      <c r="G8" s="1">
        <f>SUM(G9:G12)</f>
        <v>0</v>
      </c>
      <c r="H8" s="227"/>
      <c r="I8" s="223" t="s">
        <v>7</v>
      </c>
      <c r="J8" s="127"/>
      <c r="K8" s="128">
        <f>SUM(K9:K12)</f>
        <v>99.9999</v>
      </c>
      <c r="L8" s="128">
        <f>SUM(L9:L12)</f>
        <v>90</v>
      </c>
      <c r="M8" s="128">
        <f>SUM(M9:M12)</f>
        <v>120</v>
      </c>
      <c r="N8" s="129" t="s">
        <v>260</v>
      </c>
      <c r="O8" s="214" t="s">
        <v>258</v>
      </c>
      <c r="P8" s="2"/>
    </row>
    <row r="9" spans="1:16" ht="14.25" customHeight="1">
      <c r="A9" s="71"/>
      <c r="B9" s="19" t="s">
        <v>18</v>
      </c>
      <c r="C9" s="111" t="s">
        <v>22</v>
      </c>
      <c r="D9" s="3">
        <v>1</v>
      </c>
      <c r="E9" s="13">
        <v>100</v>
      </c>
      <c r="F9" s="13">
        <v>100</v>
      </c>
      <c r="G9" s="13"/>
      <c r="H9" s="13"/>
      <c r="I9" s="204" t="s">
        <v>35</v>
      </c>
      <c r="J9" s="178">
        <v>1</v>
      </c>
      <c r="K9" s="130">
        <v>33.3333</v>
      </c>
      <c r="L9" s="130">
        <v>30</v>
      </c>
      <c r="M9" s="130">
        <v>40</v>
      </c>
      <c r="N9" s="131" t="s">
        <v>260</v>
      </c>
      <c r="O9" s="132" t="s">
        <v>259</v>
      </c>
      <c r="P9" s="5"/>
    </row>
    <row r="10" spans="2:16" ht="12.75">
      <c r="B10" s="19" t="s">
        <v>19</v>
      </c>
      <c r="C10" s="118" t="s">
        <v>23</v>
      </c>
      <c r="D10" s="6">
        <v>1</v>
      </c>
      <c r="E10" s="7">
        <v>100</v>
      </c>
      <c r="F10" s="7">
        <v>100</v>
      </c>
      <c r="G10" s="7"/>
      <c r="H10" s="7"/>
      <c r="I10" s="201" t="s">
        <v>23</v>
      </c>
      <c r="J10" s="179">
        <v>1</v>
      </c>
      <c r="K10" s="133">
        <v>33.3333</v>
      </c>
      <c r="L10" s="133">
        <v>30</v>
      </c>
      <c r="M10" s="133">
        <v>40</v>
      </c>
      <c r="N10" s="134" t="s">
        <v>260</v>
      </c>
      <c r="O10" s="135"/>
      <c r="P10" s="5"/>
    </row>
    <row r="11" spans="2:16" ht="12.75">
      <c r="B11" s="19" t="s">
        <v>20</v>
      </c>
      <c r="C11" s="119" t="s">
        <v>23</v>
      </c>
      <c r="D11" s="6">
        <v>1</v>
      </c>
      <c r="E11" s="7">
        <v>100</v>
      </c>
      <c r="F11" s="7">
        <v>100</v>
      </c>
      <c r="G11" s="7"/>
      <c r="H11" s="7"/>
      <c r="I11" s="202" t="s">
        <v>23</v>
      </c>
      <c r="J11" s="179">
        <v>1</v>
      </c>
      <c r="K11" s="133">
        <v>33.3333</v>
      </c>
      <c r="L11" s="133">
        <v>30</v>
      </c>
      <c r="M11" s="133">
        <v>40</v>
      </c>
      <c r="N11" s="134" t="s">
        <v>260</v>
      </c>
      <c r="O11" s="135"/>
      <c r="P11" s="50"/>
    </row>
    <row r="12" spans="2:16" ht="13.5" thickBot="1">
      <c r="B12" s="17"/>
      <c r="C12" s="120"/>
      <c r="D12" s="8"/>
      <c r="E12" s="9"/>
      <c r="F12" s="247"/>
      <c r="G12" s="247"/>
      <c r="H12" s="190"/>
      <c r="I12" s="203"/>
      <c r="J12" s="137"/>
      <c r="K12" s="137"/>
      <c r="L12" s="137"/>
      <c r="M12" s="137"/>
      <c r="N12" s="136"/>
      <c r="O12" s="138"/>
      <c r="P12" s="11"/>
    </row>
    <row r="13" spans="2:16" ht="13.5" thickTop="1">
      <c r="B13" s="85" t="s">
        <v>14</v>
      </c>
      <c r="C13" s="121" t="s">
        <v>7</v>
      </c>
      <c r="D13" s="68"/>
      <c r="E13" s="1">
        <f>SUM(E14:E20)</f>
        <v>615.55</v>
      </c>
      <c r="F13" s="1">
        <f>SUM(F14:F20)</f>
        <v>0</v>
      </c>
      <c r="G13" s="1">
        <f>SUM(G14:G20)</f>
        <v>0</v>
      </c>
      <c r="H13" s="191" t="s">
        <v>8</v>
      </c>
      <c r="I13" s="217" t="s">
        <v>7</v>
      </c>
      <c r="J13" s="127"/>
      <c r="K13" s="129">
        <f>SUM(K14:K20)</f>
        <v>300</v>
      </c>
      <c r="L13" s="129">
        <f>SUM(L14:L20)</f>
        <v>0</v>
      </c>
      <c r="M13" s="129">
        <f>SUM(M14:M20)</f>
        <v>0</v>
      </c>
      <c r="N13" s="129"/>
      <c r="O13" s="139" t="s">
        <v>8</v>
      </c>
      <c r="P13" s="2"/>
    </row>
    <row r="14" spans="2:16" ht="24">
      <c r="B14" s="83" t="s">
        <v>65</v>
      </c>
      <c r="C14" s="108" t="s">
        <v>51</v>
      </c>
      <c r="D14" s="28"/>
      <c r="E14" s="49">
        <v>473.8</v>
      </c>
      <c r="F14" s="193"/>
      <c r="G14" s="193"/>
      <c r="H14" s="192" t="s">
        <v>36</v>
      </c>
      <c r="I14" s="204" t="s">
        <v>35</v>
      </c>
      <c r="J14" s="161">
        <v>2</v>
      </c>
      <c r="K14" s="140">
        <v>300</v>
      </c>
      <c r="L14" s="140"/>
      <c r="M14" s="140"/>
      <c r="N14" s="140"/>
      <c r="O14" s="141" t="s">
        <v>60</v>
      </c>
      <c r="P14" s="30"/>
    </row>
    <row r="15" spans="2:16" ht="12.75">
      <c r="B15" s="19" t="s">
        <v>52</v>
      </c>
      <c r="C15" s="108" t="s">
        <v>23</v>
      </c>
      <c r="D15" s="31"/>
      <c r="E15" s="49">
        <v>141.75</v>
      </c>
      <c r="F15" s="193"/>
      <c r="G15" s="193"/>
      <c r="H15" s="193" t="s">
        <v>23</v>
      </c>
      <c r="I15" s="204"/>
      <c r="J15" s="180"/>
      <c r="K15" s="140"/>
      <c r="L15" s="140"/>
      <c r="M15" s="140"/>
      <c r="N15" s="140"/>
      <c r="O15" s="140"/>
      <c r="P15" s="30"/>
    </row>
    <row r="16" spans="2:16" ht="12.75">
      <c r="B16" s="83" t="s">
        <v>24</v>
      </c>
      <c r="C16" s="108"/>
      <c r="D16" s="31"/>
      <c r="E16" s="49"/>
      <c r="F16" s="193"/>
      <c r="G16" s="193"/>
      <c r="H16" s="193"/>
      <c r="I16" s="204"/>
      <c r="J16" s="180"/>
      <c r="K16" s="140"/>
      <c r="L16" s="140"/>
      <c r="M16" s="140"/>
      <c r="N16" s="140"/>
      <c r="O16" s="140"/>
      <c r="P16" s="30"/>
    </row>
    <row r="17" spans="2:16" ht="12.75">
      <c r="B17" s="83" t="s">
        <v>11</v>
      </c>
      <c r="C17" s="108"/>
      <c r="D17" s="31"/>
      <c r="E17" s="49"/>
      <c r="F17" s="193"/>
      <c r="G17" s="193"/>
      <c r="H17" s="193"/>
      <c r="I17" s="204"/>
      <c r="J17" s="180"/>
      <c r="K17" s="140"/>
      <c r="L17" s="140"/>
      <c r="M17" s="140"/>
      <c r="N17" s="140"/>
      <c r="O17" s="140"/>
      <c r="P17" s="30"/>
    </row>
    <row r="18" spans="2:16" ht="12.75">
      <c r="B18" s="83"/>
      <c r="C18" s="108"/>
      <c r="D18" s="31"/>
      <c r="E18" s="49"/>
      <c r="F18" s="193"/>
      <c r="G18" s="193"/>
      <c r="H18" s="193"/>
      <c r="I18" s="204"/>
      <c r="J18" s="180"/>
      <c r="K18" s="140"/>
      <c r="L18" s="140"/>
      <c r="M18" s="140"/>
      <c r="N18" s="140"/>
      <c r="O18" s="140"/>
      <c r="P18" s="30"/>
    </row>
    <row r="19" spans="2:16" ht="12.75">
      <c r="B19" s="83"/>
      <c r="C19" s="109"/>
      <c r="D19" s="31"/>
      <c r="E19" s="49"/>
      <c r="F19" s="193"/>
      <c r="G19" s="193"/>
      <c r="H19" s="193"/>
      <c r="I19" s="205"/>
      <c r="J19" s="180"/>
      <c r="K19" s="140"/>
      <c r="L19" s="140"/>
      <c r="M19" s="140"/>
      <c r="N19" s="140"/>
      <c r="O19" s="140"/>
      <c r="P19" s="38"/>
    </row>
    <row r="20" spans="2:16" ht="13.5" thickBot="1">
      <c r="B20" s="16"/>
      <c r="C20" s="110"/>
      <c r="D20" s="6"/>
      <c r="E20" s="84"/>
      <c r="F20" s="248"/>
      <c r="G20" s="248"/>
      <c r="H20" s="194"/>
      <c r="I20" s="206"/>
      <c r="J20" s="179"/>
      <c r="K20" s="142"/>
      <c r="L20" s="142"/>
      <c r="M20" s="142"/>
      <c r="N20" s="142"/>
      <c r="O20" s="143"/>
      <c r="P20" s="38"/>
    </row>
    <row r="21" spans="2:16" ht="13.5" thickTop="1">
      <c r="B21" s="86" t="s">
        <v>10</v>
      </c>
      <c r="C21" s="123" t="s">
        <v>7</v>
      </c>
      <c r="D21" s="87"/>
      <c r="E21" s="88">
        <f>SUM(E22:E25)</f>
        <v>22.5</v>
      </c>
      <c r="F21" s="88">
        <f>SUM(F22:F25)</f>
        <v>210</v>
      </c>
      <c r="G21" s="88">
        <f>SUM(G22:G25)</f>
        <v>0</v>
      </c>
      <c r="H21" s="195"/>
      <c r="I21" s="217" t="s">
        <v>7</v>
      </c>
      <c r="J21" s="144"/>
      <c r="K21" s="145">
        <f>SUM(K22:K25)</f>
        <v>20</v>
      </c>
      <c r="L21" s="145">
        <f>SUM(L22:L25)</f>
        <v>210</v>
      </c>
      <c r="M21" s="145">
        <f>SUM(M22:M25)</f>
        <v>210</v>
      </c>
      <c r="N21" s="145"/>
      <c r="O21" s="146"/>
      <c r="P21" s="89"/>
    </row>
    <row r="22" spans="2:16" ht="12.75" customHeight="1">
      <c r="B22" s="12" t="s">
        <v>25</v>
      </c>
      <c r="C22" s="111" t="s">
        <v>83</v>
      </c>
      <c r="D22" s="3"/>
      <c r="E22" s="13">
        <v>1</v>
      </c>
      <c r="F22" s="246">
        <f>137+53</f>
        <v>190</v>
      </c>
      <c r="G22" s="246"/>
      <c r="H22" s="194" t="s">
        <v>84</v>
      </c>
      <c r="I22" s="204" t="s">
        <v>30</v>
      </c>
      <c r="J22" s="178"/>
      <c r="K22" s="131">
        <f>0.02*1000</f>
        <v>20</v>
      </c>
      <c r="L22" s="268">
        <v>190</v>
      </c>
      <c r="M22" s="268">
        <v>190</v>
      </c>
      <c r="N22" s="213"/>
      <c r="O22" s="147" t="s">
        <v>64</v>
      </c>
      <c r="P22" s="442" t="s">
        <v>265</v>
      </c>
    </row>
    <row r="23" spans="2:16" ht="12.75">
      <c r="B23" s="19" t="s">
        <v>26</v>
      </c>
      <c r="C23" s="108" t="s">
        <v>23</v>
      </c>
      <c r="D23" s="3"/>
      <c r="E23" s="13">
        <v>11</v>
      </c>
      <c r="F23" s="245">
        <v>20</v>
      </c>
      <c r="G23" s="13"/>
      <c r="H23" s="291" t="s">
        <v>79</v>
      </c>
      <c r="I23" s="200"/>
      <c r="J23" s="178"/>
      <c r="K23" s="131"/>
      <c r="L23" s="131">
        <v>20</v>
      </c>
      <c r="M23" s="131">
        <v>20</v>
      </c>
      <c r="N23" s="131"/>
      <c r="O23" s="143"/>
      <c r="P23" s="38"/>
    </row>
    <row r="24" spans="2:16" ht="12.75">
      <c r="B24" s="16" t="s">
        <v>27</v>
      </c>
      <c r="C24" s="109" t="s">
        <v>23</v>
      </c>
      <c r="D24" s="292"/>
      <c r="E24" s="293">
        <v>10.5</v>
      </c>
      <c r="F24" s="248">
        <v>0</v>
      </c>
      <c r="G24" s="84"/>
      <c r="H24" s="194" t="s">
        <v>82</v>
      </c>
      <c r="I24" s="207"/>
      <c r="J24" s="178"/>
      <c r="K24" s="131"/>
      <c r="L24" s="131">
        <v>0</v>
      </c>
      <c r="M24" s="131">
        <v>0</v>
      </c>
      <c r="N24" s="131"/>
      <c r="O24" s="143"/>
      <c r="P24" s="38"/>
    </row>
    <row r="25" spans="2:16" ht="13.5" thickBot="1">
      <c r="B25" s="55"/>
      <c r="C25" s="115"/>
      <c r="D25" s="8"/>
      <c r="E25" s="294"/>
      <c r="F25" s="260"/>
      <c r="G25" s="261"/>
      <c r="H25" s="295"/>
      <c r="I25" s="208"/>
      <c r="J25" s="181"/>
      <c r="K25" s="148"/>
      <c r="L25" s="148"/>
      <c r="M25" s="148"/>
      <c r="N25" s="148"/>
      <c r="O25" s="149"/>
      <c r="P25" s="11"/>
    </row>
    <row r="26" spans="2:16" ht="13.5" thickTop="1">
      <c r="B26" s="56" t="s">
        <v>15</v>
      </c>
      <c r="C26" s="123" t="s">
        <v>7</v>
      </c>
      <c r="D26" s="68"/>
      <c r="E26" s="1">
        <f>SUM(E27:E36)</f>
        <v>403.6</v>
      </c>
      <c r="F26" s="1">
        <f>SUM(F27:F36)</f>
        <v>1005.0000000000002</v>
      </c>
      <c r="G26" s="1">
        <f>SUM(G27:G36)</f>
        <v>0</v>
      </c>
      <c r="H26" s="305" t="s">
        <v>173</v>
      </c>
      <c r="I26" s="217" t="s">
        <v>7</v>
      </c>
      <c r="J26" s="127"/>
      <c r="K26" s="129">
        <f>SUM(K27:K36)</f>
        <v>199.51399999999998</v>
      </c>
      <c r="L26" s="129">
        <f>SUM(L27:L36)</f>
        <v>1407.5</v>
      </c>
      <c r="M26" s="129">
        <f>SUM(M27:M36)</f>
        <v>1408</v>
      </c>
      <c r="N26" s="129"/>
      <c r="O26" s="306" t="s">
        <v>41</v>
      </c>
      <c r="P26" s="2"/>
    </row>
    <row r="27" spans="2:16" ht="36">
      <c r="B27" s="39" t="s">
        <v>42</v>
      </c>
      <c r="C27" s="307" t="s">
        <v>176</v>
      </c>
      <c r="D27" s="308">
        <v>8</v>
      </c>
      <c r="E27" s="309">
        <v>60</v>
      </c>
      <c r="F27" s="249">
        <f>2*(1250*0.95*(1-0.7))</f>
        <v>712.5000000000001</v>
      </c>
      <c r="G27" s="310"/>
      <c r="H27" s="311" t="s">
        <v>174</v>
      </c>
      <c r="I27" s="204" t="s">
        <v>177</v>
      </c>
      <c r="J27" s="312">
        <v>8</v>
      </c>
      <c r="K27" s="313">
        <v>28</v>
      </c>
      <c r="L27" s="313">
        <v>1300</v>
      </c>
      <c r="M27" s="313">
        <v>1300</v>
      </c>
      <c r="N27" s="339" t="s">
        <v>188</v>
      </c>
      <c r="O27" s="314" t="s">
        <v>261</v>
      </c>
      <c r="P27" s="59" t="s">
        <v>262</v>
      </c>
    </row>
    <row r="28" spans="2:16" ht="12.75">
      <c r="B28" s="39" t="s">
        <v>43</v>
      </c>
      <c r="C28" s="307" t="s">
        <v>23</v>
      </c>
      <c r="D28" s="308">
        <v>8</v>
      </c>
      <c r="E28" s="309">
        <v>25.6</v>
      </c>
      <c r="F28" s="249" t="s">
        <v>168</v>
      </c>
      <c r="G28" s="310"/>
      <c r="H28" s="311"/>
      <c r="I28" s="204" t="s">
        <v>23</v>
      </c>
      <c r="J28" s="312">
        <v>8</v>
      </c>
      <c r="K28" s="313">
        <v>14</v>
      </c>
      <c r="L28" s="313" t="s">
        <v>168</v>
      </c>
      <c r="M28" s="313"/>
      <c r="N28" s="339" t="s">
        <v>188</v>
      </c>
      <c r="O28" s="314"/>
      <c r="P28" s="401" t="s">
        <v>266</v>
      </c>
    </row>
    <row r="29" spans="2:16" ht="12.75">
      <c r="B29" s="16" t="s">
        <v>44</v>
      </c>
      <c r="C29" s="307" t="s">
        <v>23</v>
      </c>
      <c r="D29" s="308">
        <v>8</v>
      </c>
      <c r="E29" s="309">
        <v>104</v>
      </c>
      <c r="F29" s="249">
        <f>2*1250*(1-0.95)</f>
        <v>125.00000000000011</v>
      </c>
      <c r="G29" s="310"/>
      <c r="H29" s="311"/>
      <c r="I29" s="204" t="s">
        <v>23</v>
      </c>
      <c r="J29" s="312">
        <v>8</v>
      </c>
      <c r="K29" s="315">
        <v>66</v>
      </c>
      <c r="L29" s="315">
        <v>50</v>
      </c>
      <c r="M29" s="315">
        <v>50</v>
      </c>
      <c r="N29" s="339" t="s">
        <v>188</v>
      </c>
      <c r="O29" s="314"/>
      <c r="P29" s="59"/>
    </row>
    <row r="30" spans="1:16" ht="13.5" customHeight="1">
      <c r="A30" s="90"/>
      <c r="B30" s="16" t="s">
        <v>45</v>
      </c>
      <c r="C30" s="307" t="s">
        <v>23</v>
      </c>
      <c r="D30" s="308">
        <v>8</v>
      </c>
      <c r="E30" s="309">
        <v>36</v>
      </c>
      <c r="F30" s="249" t="s">
        <v>168</v>
      </c>
      <c r="G30" s="310"/>
      <c r="H30" s="311"/>
      <c r="I30" s="204" t="s">
        <v>23</v>
      </c>
      <c r="J30" s="312">
        <v>8</v>
      </c>
      <c r="K30" s="315">
        <v>16</v>
      </c>
      <c r="L30" s="315" t="s">
        <v>168</v>
      </c>
      <c r="M30" s="315"/>
      <c r="N30" s="339" t="s">
        <v>188</v>
      </c>
      <c r="O30" s="314"/>
      <c r="P30" s="59"/>
    </row>
    <row r="31" spans="1:16" ht="24.75" customHeight="1">
      <c r="A31" s="90"/>
      <c r="B31" s="16" t="s">
        <v>46</v>
      </c>
      <c r="C31" s="307" t="s">
        <v>23</v>
      </c>
      <c r="D31" s="308">
        <v>12</v>
      </c>
      <c r="E31" s="316">
        <v>36</v>
      </c>
      <c r="F31" s="249">
        <f>2*(250*0.95*(1-0.7))</f>
        <v>142.50000000000003</v>
      </c>
      <c r="G31" s="317"/>
      <c r="H31" s="311" t="s">
        <v>175</v>
      </c>
      <c r="I31" s="204" t="s">
        <v>23</v>
      </c>
      <c r="J31" s="312">
        <v>12</v>
      </c>
      <c r="K31" s="315">
        <v>28</v>
      </c>
      <c r="L31" s="315">
        <v>47.5</v>
      </c>
      <c r="M31" s="315">
        <v>48</v>
      </c>
      <c r="N31" s="339" t="s">
        <v>188</v>
      </c>
      <c r="O31" s="314" t="s">
        <v>170</v>
      </c>
      <c r="P31" s="59"/>
    </row>
    <row r="32" spans="1:16" ht="13.5" customHeight="1">
      <c r="A32" s="90"/>
      <c r="B32" s="16" t="s">
        <v>47</v>
      </c>
      <c r="C32" s="318" t="s">
        <v>23</v>
      </c>
      <c r="D32" s="308">
        <v>4</v>
      </c>
      <c r="E32" s="319">
        <v>4</v>
      </c>
      <c r="F32" s="250" t="s">
        <v>168</v>
      </c>
      <c r="G32" s="320"/>
      <c r="H32" s="311"/>
      <c r="I32" s="204" t="s">
        <v>23</v>
      </c>
      <c r="J32" s="312">
        <v>4</v>
      </c>
      <c r="K32" s="315">
        <v>2</v>
      </c>
      <c r="L32" s="315" t="s">
        <v>168</v>
      </c>
      <c r="M32" s="315"/>
      <c r="N32" s="339" t="s">
        <v>188</v>
      </c>
      <c r="O32" s="314"/>
      <c r="P32" s="59"/>
    </row>
    <row r="33" spans="1:16" ht="13.5" customHeight="1">
      <c r="A33" s="91"/>
      <c r="B33" s="16" t="s">
        <v>48</v>
      </c>
      <c r="C33" s="321" t="s">
        <v>23</v>
      </c>
      <c r="D33" s="308">
        <v>4</v>
      </c>
      <c r="E33" s="319">
        <v>50</v>
      </c>
      <c r="F33" s="249">
        <f>2*250*(1-0.95)</f>
        <v>25.00000000000002</v>
      </c>
      <c r="G33" s="320"/>
      <c r="H33" s="311"/>
      <c r="I33" s="204" t="s">
        <v>23</v>
      </c>
      <c r="J33" s="312">
        <v>4</v>
      </c>
      <c r="K33" s="322">
        <v>32.664</v>
      </c>
      <c r="L33" s="322">
        <v>10</v>
      </c>
      <c r="M33" s="322">
        <v>10</v>
      </c>
      <c r="N33" s="339" t="s">
        <v>188</v>
      </c>
      <c r="O33" s="314"/>
      <c r="P33" s="74"/>
    </row>
    <row r="34" spans="1:16" ht="13.5" customHeight="1">
      <c r="A34" s="91"/>
      <c r="B34" s="16" t="s">
        <v>49</v>
      </c>
      <c r="C34" s="321" t="s">
        <v>23</v>
      </c>
      <c r="D34" s="308">
        <v>4</v>
      </c>
      <c r="E34" s="319">
        <v>30</v>
      </c>
      <c r="F34" s="250" t="s">
        <v>168</v>
      </c>
      <c r="G34" s="320"/>
      <c r="H34" s="311"/>
      <c r="I34" s="204" t="s">
        <v>23</v>
      </c>
      <c r="J34" s="312">
        <v>4</v>
      </c>
      <c r="K34" s="322">
        <v>8</v>
      </c>
      <c r="L34" s="322" t="s">
        <v>168</v>
      </c>
      <c r="M34" s="322"/>
      <c r="N34" s="339" t="s">
        <v>188</v>
      </c>
      <c r="O34" s="314"/>
      <c r="P34" s="74"/>
    </row>
    <row r="35" spans="1:16" ht="13.5" customHeight="1">
      <c r="A35" s="91"/>
      <c r="B35" s="16" t="s">
        <v>50</v>
      </c>
      <c r="C35" s="321" t="s">
        <v>23</v>
      </c>
      <c r="D35" s="308">
        <v>1</v>
      </c>
      <c r="E35" s="319">
        <v>58</v>
      </c>
      <c r="F35" s="262" t="s">
        <v>168</v>
      </c>
      <c r="G35" s="320"/>
      <c r="H35" s="311" t="s">
        <v>171</v>
      </c>
      <c r="I35" s="204" t="s">
        <v>23</v>
      </c>
      <c r="J35" s="312">
        <v>1</v>
      </c>
      <c r="K35" s="322">
        <v>4.85</v>
      </c>
      <c r="L35" s="322" t="s">
        <v>168</v>
      </c>
      <c r="M35" s="322"/>
      <c r="N35" s="339" t="s">
        <v>188</v>
      </c>
      <c r="O35" s="314" t="s">
        <v>172</v>
      </c>
      <c r="P35" s="74"/>
    </row>
    <row r="36" spans="2:16" ht="12.75" customHeight="1" thickBot="1">
      <c r="B36" s="55"/>
      <c r="C36" s="113"/>
      <c r="D36" s="8"/>
      <c r="E36" s="9"/>
      <c r="F36" s="247"/>
      <c r="G36" s="9"/>
      <c r="H36" s="194"/>
      <c r="I36" s="210"/>
      <c r="J36" s="137"/>
      <c r="K36" s="153"/>
      <c r="L36" s="153"/>
      <c r="M36" s="153"/>
      <c r="N36" s="153"/>
      <c r="O36" s="149"/>
      <c r="P36" s="74"/>
    </row>
    <row r="37" spans="2:16" ht="13.5" thickTop="1">
      <c r="B37" s="56" t="s">
        <v>16</v>
      </c>
      <c r="C37" s="125" t="s">
        <v>7</v>
      </c>
      <c r="D37" s="68"/>
      <c r="E37" s="14">
        <f>SUM(E38:E41)</f>
        <v>1152</v>
      </c>
      <c r="F37" s="14">
        <f>SUM(F38:F41)</f>
        <v>0</v>
      </c>
      <c r="G37" s="14">
        <f>SUM(G38:G41)</f>
        <v>0</v>
      </c>
      <c r="H37" s="191"/>
      <c r="I37" s="217" t="s">
        <v>7</v>
      </c>
      <c r="J37" s="127"/>
      <c r="K37" s="154">
        <f>SUM(K38:K41)</f>
        <v>193.8</v>
      </c>
      <c r="L37" s="154">
        <f>SUM(L38:L41)</f>
        <v>0</v>
      </c>
      <c r="M37" s="154">
        <f>SUM(M38:M41)</f>
        <v>0</v>
      </c>
      <c r="N37" s="154"/>
      <c r="O37" s="139"/>
      <c r="P37" s="78"/>
    </row>
    <row r="38" spans="2:16" ht="24">
      <c r="B38" s="62" t="s">
        <v>28</v>
      </c>
      <c r="C38" s="226" t="s">
        <v>194</v>
      </c>
      <c r="D38" s="63"/>
      <c r="E38" s="64">
        <v>1152</v>
      </c>
      <c r="F38" s="250"/>
      <c r="G38" s="250"/>
      <c r="H38" s="33" t="s">
        <v>191</v>
      </c>
      <c r="I38" s="204" t="s">
        <v>193</v>
      </c>
      <c r="J38" s="182"/>
      <c r="K38" s="155">
        <v>193.8</v>
      </c>
      <c r="L38" s="155"/>
      <c r="M38" s="155"/>
      <c r="N38" s="155"/>
      <c r="O38" s="151"/>
      <c r="P38" s="59"/>
    </row>
    <row r="39" spans="2:16" ht="38.25">
      <c r="B39" s="62"/>
      <c r="C39" s="112"/>
      <c r="D39" s="63"/>
      <c r="E39" s="64"/>
      <c r="F39" s="250"/>
      <c r="G39" s="250"/>
      <c r="H39" s="65" t="s">
        <v>192</v>
      </c>
      <c r="I39" s="209"/>
      <c r="J39" s="182"/>
      <c r="K39" s="155"/>
      <c r="L39" s="155"/>
      <c r="M39" s="155"/>
      <c r="N39" s="155"/>
      <c r="O39" s="152"/>
      <c r="P39" s="5"/>
    </row>
    <row r="40" spans="2:16" ht="12.75">
      <c r="B40" s="62"/>
      <c r="C40" s="112"/>
      <c r="D40" s="63"/>
      <c r="E40" s="64"/>
      <c r="F40" s="250"/>
      <c r="G40" s="250"/>
      <c r="H40" s="33"/>
      <c r="I40" s="209"/>
      <c r="J40" s="182"/>
      <c r="K40" s="155"/>
      <c r="L40" s="155"/>
      <c r="M40" s="155"/>
      <c r="N40" s="155"/>
      <c r="O40" s="151"/>
      <c r="P40" s="47"/>
    </row>
    <row r="41" spans="2:16" ht="13.5" thickBot="1">
      <c r="B41" s="55"/>
      <c r="C41" s="113"/>
      <c r="D41" s="8"/>
      <c r="E41" s="51"/>
      <c r="F41" s="251"/>
      <c r="G41" s="251"/>
      <c r="H41" s="10"/>
      <c r="I41" s="210"/>
      <c r="J41" s="137"/>
      <c r="K41" s="156"/>
      <c r="L41" s="156"/>
      <c r="M41" s="156"/>
      <c r="N41" s="156"/>
      <c r="O41" s="149"/>
      <c r="P41" s="74"/>
    </row>
    <row r="42" spans="2:16" ht="13.5" thickTop="1">
      <c r="B42" s="45" t="s">
        <v>66</v>
      </c>
      <c r="C42" s="124" t="s">
        <v>7</v>
      </c>
      <c r="D42" s="69"/>
      <c r="E42" s="36">
        <f>SUM(E43:E62)</f>
        <v>79</v>
      </c>
      <c r="F42" s="36">
        <f>SUM(F43:F62)</f>
        <v>99</v>
      </c>
      <c r="G42" s="36">
        <f>SUM(G43:G62)</f>
        <v>213</v>
      </c>
      <c r="H42" s="105"/>
      <c r="I42" s="216" t="s">
        <v>7</v>
      </c>
      <c r="J42" s="157"/>
      <c r="K42" s="158">
        <f>SUM(K43:K62)</f>
        <v>36</v>
      </c>
      <c r="L42" s="158">
        <f>SUM(L43:L62)</f>
        <v>38</v>
      </c>
      <c r="M42" s="158">
        <f>SUM(M43:M62)</f>
        <v>65</v>
      </c>
      <c r="N42" s="158"/>
      <c r="O42" s="159"/>
      <c r="P42" s="75"/>
    </row>
    <row r="43" spans="2:16" ht="12.75">
      <c r="B43" s="103"/>
      <c r="C43" s="114" t="s">
        <v>150</v>
      </c>
      <c r="D43" s="28"/>
      <c r="E43" s="49"/>
      <c r="F43" s="193"/>
      <c r="G43" s="193"/>
      <c r="H43" s="29"/>
      <c r="I43" s="204" t="s">
        <v>150</v>
      </c>
      <c r="J43" s="161"/>
      <c r="K43" s="140"/>
      <c r="L43" s="269"/>
      <c r="M43" s="269"/>
      <c r="N43" s="213"/>
      <c r="O43" s="160"/>
      <c r="P43" s="30"/>
    </row>
    <row r="44" spans="2:16" ht="24">
      <c r="B44" s="39" t="s">
        <v>103</v>
      </c>
      <c r="C44" s="108" t="s">
        <v>104</v>
      </c>
      <c r="D44" s="28">
        <v>4</v>
      </c>
      <c r="E44" s="49">
        <v>1</v>
      </c>
      <c r="F44" s="193">
        <v>1</v>
      </c>
      <c r="G44" s="193">
        <v>1</v>
      </c>
      <c r="H44" s="33" t="s">
        <v>105</v>
      </c>
      <c r="I44" s="204" t="s">
        <v>106</v>
      </c>
      <c r="J44" s="161">
        <v>4</v>
      </c>
      <c r="K44" s="140">
        <v>1</v>
      </c>
      <c r="L44" s="140">
        <v>1</v>
      </c>
      <c r="M44" s="140">
        <v>1</v>
      </c>
      <c r="N44" s="326">
        <v>2015</v>
      </c>
      <c r="O44" s="147" t="s">
        <v>107</v>
      </c>
      <c r="P44" s="30"/>
    </row>
    <row r="45" spans="2:16" ht="48">
      <c r="B45" s="39" t="s">
        <v>85</v>
      </c>
      <c r="C45" s="226" t="s">
        <v>86</v>
      </c>
      <c r="D45" s="102">
        <v>2</v>
      </c>
      <c r="E45" s="302">
        <v>4</v>
      </c>
      <c r="F45" s="193">
        <v>2</v>
      </c>
      <c r="G45" s="303">
        <v>2</v>
      </c>
      <c r="H45" s="29" t="s">
        <v>87</v>
      </c>
      <c r="I45" s="204" t="s">
        <v>88</v>
      </c>
      <c r="J45" s="161">
        <v>2</v>
      </c>
      <c r="K45" s="304">
        <v>1</v>
      </c>
      <c r="L45" s="304">
        <v>1</v>
      </c>
      <c r="M45" s="304">
        <v>1</v>
      </c>
      <c r="N45" s="327">
        <v>2015</v>
      </c>
      <c r="O45" s="147" t="s">
        <v>89</v>
      </c>
      <c r="P45" s="47"/>
    </row>
    <row r="46" spans="2:16" ht="36">
      <c r="B46" s="39" t="s">
        <v>151</v>
      </c>
      <c r="C46" s="215" t="s">
        <v>152</v>
      </c>
      <c r="D46" s="102">
        <v>2</v>
      </c>
      <c r="E46" s="102">
        <v>10</v>
      </c>
      <c r="F46" s="28">
        <v>10</v>
      </c>
      <c r="G46" s="252">
        <v>20</v>
      </c>
      <c r="H46" s="29" t="s">
        <v>87</v>
      </c>
      <c r="I46" s="385" t="s">
        <v>153</v>
      </c>
      <c r="J46" s="161">
        <v>1</v>
      </c>
      <c r="K46" s="161">
        <v>6</v>
      </c>
      <c r="L46" s="161">
        <v>7</v>
      </c>
      <c r="M46" s="161">
        <v>7</v>
      </c>
      <c r="N46" s="328">
        <v>2015</v>
      </c>
      <c r="O46" s="147" t="s">
        <v>154</v>
      </c>
      <c r="P46" s="30"/>
    </row>
    <row r="47" spans="2:16" ht="120">
      <c r="B47" s="402" t="s">
        <v>263</v>
      </c>
      <c r="C47" s="108" t="s">
        <v>90</v>
      </c>
      <c r="D47" s="28">
        <v>2</v>
      </c>
      <c r="E47" s="49">
        <v>8</v>
      </c>
      <c r="F47" s="267">
        <v>14</v>
      </c>
      <c r="G47" s="193">
        <v>14</v>
      </c>
      <c r="H47" s="29" t="s">
        <v>91</v>
      </c>
      <c r="I47" s="204" t="s">
        <v>92</v>
      </c>
      <c r="J47" s="161">
        <v>2</v>
      </c>
      <c r="K47" s="140">
        <v>4</v>
      </c>
      <c r="L47" s="140">
        <v>4</v>
      </c>
      <c r="M47" s="140">
        <v>6</v>
      </c>
      <c r="N47" s="326">
        <v>2015</v>
      </c>
      <c r="O47" s="160" t="s">
        <v>93</v>
      </c>
      <c r="P47" s="410" t="s">
        <v>264</v>
      </c>
    </row>
    <row r="48" spans="2:16" ht="36">
      <c r="B48" s="39" t="s">
        <v>94</v>
      </c>
      <c r="C48" s="108" t="s">
        <v>95</v>
      </c>
      <c r="D48" s="31" t="s">
        <v>155</v>
      </c>
      <c r="E48" s="37">
        <v>3</v>
      </c>
      <c r="F48" s="253">
        <v>4</v>
      </c>
      <c r="G48" s="253">
        <v>4</v>
      </c>
      <c r="H48" s="29" t="s">
        <v>97</v>
      </c>
      <c r="I48" s="204" t="s">
        <v>98</v>
      </c>
      <c r="J48" s="180" t="s">
        <v>96</v>
      </c>
      <c r="K48" s="162">
        <v>2</v>
      </c>
      <c r="L48" s="162">
        <v>2</v>
      </c>
      <c r="M48" s="162">
        <v>3</v>
      </c>
      <c r="N48" s="329">
        <v>2015</v>
      </c>
      <c r="O48" s="160" t="s">
        <v>99</v>
      </c>
      <c r="P48" s="30"/>
    </row>
    <row r="49" spans="2:16" ht="25.5" customHeight="1">
      <c r="B49" s="39" t="s">
        <v>156</v>
      </c>
      <c r="C49" s="108" t="s">
        <v>100</v>
      </c>
      <c r="D49" s="31">
        <v>1</v>
      </c>
      <c r="E49" s="37">
        <v>5</v>
      </c>
      <c r="F49" s="253">
        <v>27</v>
      </c>
      <c r="G49" s="253">
        <v>27</v>
      </c>
      <c r="H49" s="33" t="s">
        <v>101</v>
      </c>
      <c r="I49" s="204" t="s">
        <v>102</v>
      </c>
      <c r="J49" s="180">
        <v>1</v>
      </c>
      <c r="K49" s="162">
        <v>1</v>
      </c>
      <c r="L49" s="162">
        <v>4</v>
      </c>
      <c r="M49" s="162">
        <v>4</v>
      </c>
      <c r="N49" s="329">
        <v>2015</v>
      </c>
      <c r="O49" s="147" t="s">
        <v>89</v>
      </c>
      <c r="P49" s="30"/>
    </row>
    <row r="50" spans="2:16" ht="36">
      <c r="B50" s="39" t="s">
        <v>157</v>
      </c>
      <c r="C50" s="108" t="s">
        <v>109</v>
      </c>
      <c r="D50" s="31">
        <v>4</v>
      </c>
      <c r="E50" s="37">
        <v>16</v>
      </c>
      <c r="F50" s="253">
        <v>8</v>
      </c>
      <c r="G50" s="253">
        <v>60</v>
      </c>
      <c r="H50" s="33" t="s">
        <v>110</v>
      </c>
      <c r="I50" s="204" t="s">
        <v>158</v>
      </c>
      <c r="J50" s="180">
        <v>4</v>
      </c>
      <c r="K50" s="162">
        <v>5</v>
      </c>
      <c r="L50" s="162">
        <v>3</v>
      </c>
      <c r="M50" s="162">
        <v>15</v>
      </c>
      <c r="N50" s="329">
        <v>2015</v>
      </c>
      <c r="O50" s="151" t="s">
        <v>112</v>
      </c>
      <c r="P50" s="5"/>
    </row>
    <row r="51" spans="2:16" ht="36">
      <c r="B51" s="39" t="s">
        <v>159</v>
      </c>
      <c r="C51" s="108" t="s">
        <v>160</v>
      </c>
      <c r="D51" s="31">
        <v>1</v>
      </c>
      <c r="E51" s="37">
        <v>3</v>
      </c>
      <c r="F51" s="253">
        <v>4</v>
      </c>
      <c r="G51" s="253">
        <v>8</v>
      </c>
      <c r="H51" s="33" t="s">
        <v>161</v>
      </c>
      <c r="I51" s="204" t="s">
        <v>160</v>
      </c>
      <c r="J51" s="180">
        <v>1</v>
      </c>
      <c r="K51" s="162">
        <v>2</v>
      </c>
      <c r="L51" s="162">
        <v>3</v>
      </c>
      <c r="M51" s="162">
        <v>6</v>
      </c>
      <c r="N51" s="329">
        <v>2015</v>
      </c>
      <c r="O51" s="151" t="s">
        <v>162</v>
      </c>
      <c r="P51" s="5"/>
    </row>
    <row r="52" spans="2:16" ht="36">
      <c r="B52" s="39" t="s">
        <v>163</v>
      </c>
      <c r="C52" s="108" t="s">
        <v>164</v>
      </c>
      <c r="D52" s="31">
        <v>1</v>
      </c>
      <c r="E52" s="37">
        <v>10</v>
      </c>
      <c r="F52" s="253">
        <v>10</v>
      </c>
      <c r="G52" s="253">
        <v>20</v>
      </c>
      <c r="H52" s="33" t="s">
        <v>165</v>
      </c>
      <c r="I52" s="204" t="s">
        <v>164</v>
      </c>
      <c r="J52" s="180">
        <v>1</v>
      </c>
      <c r="K52" s="162">
        <v>5</v>
      </c>
      <c r="L52" s="162">
        <v>5</v>
      </c>
      <c r="M52" s="162">
        <v>10</v>
      </c>
      <c r="N52" s="329">
        <v>2015</v>
      </c>
      <c r="O52" s="151" t="s">
        <v>112</v>
      </c>
      <c r="P52" s="5"/>
    </row>
    <row r="53" spans="2:16" ht="72">
      <c r="B53" s="39" t="s">
        <v>113</v>
      </c>
      <c r="C53" s="108" t="s">
        <v>114</v>
      </c>
      <c r="D53" s="31">
        <v>8</v>
      </c>
      <c r="E53" s="37">
        <v>3</v>
      </c>
      <c r="F53" s="253">
        <v>3</v>
      </c>
      <c r="G53" s="253">
        <v>3</v>
      </c>
      <c r="H53" s="33" t="s">
        <v>115</v>
      </c>
      <c r="I53" s="204" t="s">
        <v>116</v>
      </c>
      <c r="J53" s="180">
        <v>1</v>
      </c>
      <c r="K53" s="162">
        <v>1</v>
      </c>
      <c r="L53" s="162">
        <v>1</v>
      </c>
      <c r="M53" s="162">
        <v>1</v>
      </c>
      <c r="N53" s="329" t="s">
        <v>117</v>
      </c>
      <c r="O53" s="151" t="s">
        <v>118</v>
      </c>
      <c r="P53" s="300"/>
    </row>
    <row r="54" spans="2:16" ht="48">
      <c r="B54" s="39" t="s">
        <v>67</v>
      </c>
      <c r="C54" s="108" t="s">
        <v>119</v>
      </c>
      <c r="D54" s="31">
        <v>2</v>
      </c>
      <c r="E54" s="37">
        <v>1</v>
      </c>
      <c r="F54" s="253">
        <v>5</v>
      </c>
      <c r="G54" s="253">
        <v>26</v>
      </c>
      <c r="H54" s="33" t="s">
        <v>120</v>
      </c>
      <c r="I54" s="204" t="s">
        <v>121</v>
      </c>
      <c r="J54" s="180">
        <v>1</v>
      </c>
      <c r="K54" s="162">
        <v>1</v>
      </c>
      <c r="L54" s="162">
        <v>2</v>
      </c>
      <c r="M54" s="162">
        <v>5</v>
      </c>
      <c r="N54" s="329" t="s">
        <v>117</v>
      </c>
      <c r="O54" s="162" t="s">
        <v>122</v>
      </c>
      <c r="P54" s="300"/>
    </row>
    <row r="55" spans="2:16" ht="36">
      <c r="B55" s="39" t="s">
        <v>123</v>
      </c>
      <c r="C55" s="108" t="s">
        <v>124</v>
      </c>
      <c r="D55" s="31">
        <v>4</v>
      </c>
      <c r="E55" s="37">
        <v>4</v>
      </c>
      <c r="F55" s="253">
        <v>2</v>
      </c>
      <c r="G55" s="253">
        <v>6</v>
      </c>
      <c r="H55" s="33" t="s">
        <v>125</v>
      </c>
      <c r="I55" s="204" t="s">
        <v>126</v>
      </c>
      <c r="J55" s="180">
        <v>1</v>
      </c>
      <c r="K55" s="301">
        <v>1</v>
      </c>
      <c r="L55" s="301">
        <v>1</v>
      </c>
      <c r="M55" s="301">
        <v>2</v>
      </c>
      <c r="N55" s="330">
        <v>2015</v>
      </c>
      <c r="O55" s="299" t="s">
        <v>127</v>
      </c>
      <c r="P55" s="300"/>
    </row>
    <row r="56" spans="2:16" ht="48">
      <c r="B56" s="39" t="s">
        <v>128</v>
      </c>
      <c r="C56" s="109" t="s">
        <v>166</v>
      </c>
      <c r="D56" s="31">
        <v>2</v>
      </c>
      <c r="E56" s="37">
        <v>1</v>
      </c>
      <c r="F56" s="253">
        <v>3</v>
      </c>
      <c r="G56" s="253">
        <v>7</v>
      </c>
      <c r="H56" s="33"/>
      <c r="I56" s="205" t="s">
        <v>130</v>
      </c>
      <c r="J56" s="180">
        <v>1</v>
      </c>
      <c r="K56" s="150">
        <v>1</v>
      </c>
      <c r="L56" s="150">
        <v>1</v>
      </c>
      <c r="M56" s="150">
        <v>1</v>
      </c>
      <c r="N56" s="330">
        <v>2015</v>
      </c>
      <c r="O56" s="151" t="s">
        <v>118</v>
      </c>
      <c r="P56" s="300"/>
    </row>
    <row r="57" spans="2:16" ht="48">
      <c r="B57" s="39" t="s">
        <v>131</v>
      </c>
      <c r="C57" s="109" t="s">
        <v>132</v>
      </c>
      <c r="D57" s="31">
        <v>2</v>
      </c>
      <c r="E57" s="37">
        <v>1</v>
      </c>
      <c r="F57" s="253">
        <v>1</v>
      </c>
      <c r="G57" s="253">
        <v>2</v>
      </c>
      <c r="H57" s="33"/>
      <c r="I57" s="205" t="s">
        <v>130</v>
      </c>
      <c r="J57" s="180">
        <v>1</v>
      </c>
      <c r="K57" s="171">
        <v>1</v>
      </c>
      <c r="L57" s="171">
        <v>1</v>
      </c>
      <c r="M57" s="171">
        <v>1</v>
      </c>
      <c r="N57" s="330">
        <v>2015</v>
      </c>
      <c r="O57" s="151" t="s">
        <v>118</v>
      </c>
      <c r="P57" s="300"/>
    </row>
    <row r="58" spans="2:16" ht="48">
      <c r="B58" s="39" t="s">
        <v>133</v>
      </c>
      <c r="C58" s="109" t="s">
        <v>134</v>
      </c>
      <c r="D58" s="31">
        <v>2</v>
      </c>
      <c r="E58" s="37">
        <v>1</v>
      </c>
      <c r="F58" s="253">
        <v>2</v>
      </c>
      <c r="G58" s="253">
        <v>8</v>
      </c>
      <c r="H58" s="33"/>
      <c r="I58" s="205" t="s">
        <v>130</v>
      </c>
      <c r="J58" s="180">
        <v>1</v>
      </c>
      <c r="K58" s="171">
        <v>1</v>
      </c>
      <c r="L58" s="171">
        <v>1</v>
      </c>
      <c r="M58" s="171">
        <v>1</v>
      </c>
      <c r="N58" s="330">
        <v>2015</v>
      </c>
      <c r="O58" s="151" t="s">
        <v>118</v>
      </c>
      <c r="P58" s="300"/>
    </row>
    <row r="59" spans="2:16" ht="36">
      <c r="B59" s="39" t="s">
        <v>135</v>
      </c>
      <c r="C59" s="109" t="s">
        <v>136</v>
      </c>
      <c r="D59" s="31">
        <v>2</v>
      </c>
      <c r="E59" s="37">
        <v>1</v>
      </c>
      <c r="F59" s="253">
        <v>3</v>
      </c>
      <c r="G59" s="253">
        <v>5</v>
      </c>
      <c r="H59" s="33"/>
      <c r="I59" s="205" t="s">
        <v>137</v>
      </c>
      <c r="J59" s="180">
        <v>1</v>
      </c>
      <c r="K59" s="171">
        <v>1</v>
      </c>
      <c r="L59" s="171">
        <v>1</v>
      </c>
      <c r="M59" s="171">
        <v>1</v>
      </c>
      <c r="N59" s="330">
        <v>2015</v>
      </c>
      <c r="O59" s="151" t="s">
        <v>118</v>
      </c>
      <c r="P59" s="300"/>
    </row>
    <row r="60" spans="2:16" ht="36">
      <c r="B60" s="39" t="s">
        <v>138</v>
      </c>
      <c r="C60" s="109" t="s">
        <v>139</v>
      </c>
      <c r="D60" s="31">
        <v>2</v>
      </c>
      <c r="E60" s="37">
        <v>3</v>
      </c>
      <c r="F60" s="253"/>
      <c r="G60" s="253"/>
      <c r="H60" s="33"/>
      <c r="I60" s="205" t="s">
        <v>140</v>
      </c>
      <c r="J60" s="180">
        <v>1</v>
      </c>
      <c r="K60" s="171">
        <v>1</v>
      </c>
      <c r="L60" s="171"/>
      <c r="M60" s="171"/>
      <c r="N60" s="330">
        <v>2015</v>
      </c>
      <c r="O60" s="151" t="s">
        <v>118</v>
      </c>
      <c r="P60" s="300"/>
    </row>
    <row r="61" spans="2:16" ht="12.75">
      <c r="B61" s="39" t="s">
        <v>141</v>
      </c>
      <c r="C61" s="109" t="s">
        <v>142</v>
      </c>
      <c r="D61" s="31">
        <v>1</v>
      </c>
      <c r="E61" s="37">
        <v>4</v>
      </c>
      <c r="F61" s="253"/>
      <c r="G61" s="253"/>
      <c r="H61" s="33"/>
      <c r="I61" s="205" t="s">
        <v>143</v>
      </c>
      <c r="J61" s="180">
        <v>1</v>
      </c>
      <c r="K61" s="171">
        <v>1</v>
      </c>
      <c r="L61" s="171"/>
      <c r="M61" s="171"/>
      <c r="N61" s="330">
        <v>2015</v>
      </c>
      <c r="O61" s="151"/>
      <c r="P61" s="300"/>
    </row>
    <row r="62" spans="2:16" ht="24.75" thickBot="1">
      <c r="B62" s="106" t="s">
        <v>144</v>
      </c>
      <c r="C62" s="115" t="s">
        <v>145</v>
      </c>
      <c r="D62" s="35"/>
      <c r="E62" s="40" t="s">
        <v>146</v>
      </c>
      <c r="F62" s="254"/>
      <c r="G62" s="254"/>
      <c r="H62" s="196" t="s">
        <v>147</v>
      </c>
      <c r="I62" s="211" t="s">
        <v>148</v>
      </c>
      <c r="J62" s="183"/>
      <c r="K62" s="163"/>
      <c r="L62" s="163"/>
      <c r="M62" s="163"/>
      <c r="N62" s="163"/>
      <c r="O62" s="164"/>
      <c r="P62" s="77"/>
    </row>
    <row r="63" spans="2:16" ht="13.5" thickTop="1">
      <c r="B63" s="218" t="s">
        <v>9</v>
      </c>
      <c r="C63" s="219" t="s">
        <v>7</v>
      </c>
      <c r="D63" s="126"/>
      <c r="E63" s="36">
        <f>SUM(E64:E71)</f>
        <v>45</v>
      </c>
      <c r="F63" s="36">
        <f>SUM(F64:F71)</f>
        <v>89</v>
      </c>
      <c r="G63" s="36">
        <f>SUM(G64:G71)</f>
        <v>248</v>
      </c>
      <c r="H63" s="197"/>
      <c r="I63" s="216" t="s">
        <v>7</v>
      </c>
      <c r="J63" s="157"/>
      <c r="K63" s="158">
        <f>SUM(K64:K71)</f>
        <v>26</v>
      </c>
      <c r="L63" s="158">
        <f>SUM(L64:L71)</f>
        <v>52</v>
      </c>
      <c r="M63" s="158">
        <f>SUM(M64:M71)</f>
        <v>149</v>
      </c>
      <c r="N63" s="158"/>
      <c r="O63" s="159"/>
      <c r="P63" s="76"/>
    </row>
    <row r="64" spans="2:16" ht="12.75">
      <c r="B64" s="46" t="s">
        <v>198</v>
      </c>
      <c r="C64" s="105" t="s">
        <v>196</v>
      </c>
      <c r="D64" s="324">
        <v>2</v>
      </c>
      <c r="E64" s="66">
        <v>6</v>
      </c>
      <c r="F64" s="255">
        <v>65</v>
      </c>
      <c r="G64" s="255">
        <v>200</v>
      </c>
      <c r="H64" s="29" t="s">
        <v>200</v>
      </c>
      <c r="I64" s="204" t="s">
        <v>196</v>
      </c>
      <c r="J64" s="325">
        <v>2</v>
      </c>
      <c r="K64" s="165">
        <v>3</v>
      </c>
      <c r="L64" s="165">
        <v>40</v>
      </c>
      <c r="M64" s="165">
        <v>125</v>
      </c>
      <c r="N64" s="165">
        <v>2025</v>
      </c>
      <c r="O64" s="166"/>
      <c r="P64" s="298"/>
    </row>
    <row r="65" spans="2:16" ht="24.75" customHeight="1">
      <c r="B65" s="19" t="s">
        <v>186</v>
      </c>
      <c r="C65" s="108" t="s">
        <v>23</v>
      </c>
      <c r="D65" s="28">
        <v>2</v>
      </c>
      <c r="E65" s="66">
        <v>6</v>
      </c>
      <c r="F65" s="255">
        <v>12</v>
      </c>
      <c r="G65" s="255">
        <v>18</v>
      </c>
      <c r="H65" s="29"/>
      <c r="I65" s="204" t="s">
        <v>23</v>
      </c>
      <c r="J65" s="161">
        <v>2</v>
      </c>
      <c r="K65" s="165">
        <v>3</v>
      </c>
      <c r="L65" s="165">
        <v>6</v>
      </c>
      <c r="M65" s="165">
        <v>9</v>
      </c>
      <c r="N65" s="165">
        <v>2025</v>
      </c>
      <c r="O65" s="166" t="s">
        <v>185</v>
      </c>
      <c r="P65" s="61"/>
    </row>
    <row r="66" spans="2:16" ht="24.75" customHeight="1">
      <c r="B66" s="18" t="s">
        <v>183</v>
      </c>
      <c r="C66" s="116" t="s">
        <v>23</v>
      </c>
      <c r="D66" s="22">
        <v>1</v>
      </c>
      <c r="E66" s="53">
        <v>2</v>
      </c>
      <c r="F66" s="13">
        <v>0</v>
      </c>
      <c r="G66" s="256">
        <v>0</v>
      </c>
      <c r="H66" s="29" t="s">
        <v>184</v>
      </c>
      <c r="I66" s="202" t="s">
        <v>23</v>
      </c>
      <c r="J66" s="323">
        <v>1</v>
      </c>
      <c r="K66" s="130">
        <v>2</v>
      </c>
      <c r="L66" s="130">
        <v>0</v>
      </c>
      <c r="M66" s="130">
        <v>0</v>
      </c>
      <c r="N66" s="130">
        <v>2020</v>
      </c>
      <c r="O66" s="169" t="s">
        <v>184</v>
      </c>
      <c r="P66" s="61"/>
    </row>
    <row r="67" spans="2:16" ht="24.75" customHeight="1">
      <c r="B67" s="103" t="s">
        <v>178</v>
      </c>
      <c r="C67" s="108" t="s">
        <v>23</v>
      </c>
      <c r="D67" s="28">
        <v>2</v>
      </c>
      <c r="E67" s="66">
        <v>6</v>
      </c>
      <c r="F67" s="255">
        <v>6</v>
      </c>
      <c r="G67" s="255">
        <v>15</v>
      </c>
      <c r="H67" s="29" t="s">
        <v>179</v>
      </c>
      <c r="I67" s="204" t="s">
        <v>23</v>
      </c>
      <c r="J67" s="161">
        <v>2</v>
      </c>
      <c r="K67" s="130">
        <v>3</v>
      </c>
      <c r="L67" s="130">
        <v>3</v>
      </c>
      <c r="M67" s="353">
        <v>7.5</v>
      </c>
      <c r="N67" s="130" t="s">
        <v>8</v>
      </c>
      <c r="O67" s="169" t="s">
        <v>179</v>
      </c>
      <c r="P67" s="61"/>
    </row>
    <row r="68" spans="2:16" ht="24.75" customHeight="1">
      <c r="B68" s="18" t="s">
        <v>182</v>
      </c>
      <c r="C68" s="116" t="s">
        <v>23</v>
      </c>
      <c r="D68" s="22">
        <v>2</v>
      </c>
      <c r="E68" s="53">
        <v>1</v>
      </c>
      <c r="F68" s="13">
        <v>0</v>
      </c>
      <c r="G68" s="256">
        <v>0</v>
      </c>
      <c r="H68" s="4" t="s">
        <v>201</v>
      </c>
      <c r="I68" s="202" t="s">
        <v>23</v>
      </c>
      <c r="J68" s="323">
        <v>2</v>
      </c>
      <c r="K68" s="130">
        <v>1</v>
      </c>
      <c r="L68" s="130">
        <v>0</v>
      </c>
      <c r="M68" s="130">
        <v>0</v>
      </c>
      <c r="N68" s="130">
        <v>2012</v>
      </c>
      <c r="O68" s="169"/>
      <c r="P68" s="61"/>
    </row>
    <row r="69" spans="2:16" ht="25.5">
      <c r="B69" s="18" t="s">
        <v>180</v>
      </c>
      <c r="C69" s="116" t="s">
        <v>23</v>
      </c>
      <c r="D69" s="22">
        <v>2</v>
      </c>
      <c r="E69" s="53">
        <v>6</v>
      </c>
      <c r="F69" s="13">
        <v>6</v>
      </c>
      <c r="G69" s="256">
        <v>15</v>
      </c>
      <c r="H69" s="4" t="s">
        <v>187</v>
      </c>
      <c r="I69" s="202" t="s">
        <v>23</v>
      </c>
      <c r="J69" s="323">
        <v>2</v>
      </c>
      <c r="K69" s="130">
        <v>3</v>
      </c>
      <c r="L69" s="130">
        <v>3</v>
      </c>
      <c r="M69" s="353">
        <v>7.5</v>
      </c>
      <c r="N69" s="130"/>
      <c r="O69" s="169" t="s">
        <v>187</v>
      </c>
      <c r="P69" s="61"/>
    </row>
    <row r="70" spans="2:16" ht="38.25">
      <c r="B70" s="18" t="s">
        <v>199</v>
      </c>
      <c r="C70" s="119" t="s">
        <v>23</v>
      </c>
      <c r="D70" s="22">
        <v>1</v>
      </c>
      <c r="E70" s="359">
        <v>10</v>
      </c>
      <c r="F70" s="7">
        <v>0</v>
      </c>
      <c r="G70" s="360">
        <v>0</v>
      </c>
      <c r="H70" s="194"/>
      <c r="I70" s="363" t="s">
        <v>23</v>
      </c>
      <c r="J70" s="323">
        <v>1</v>
      </c>
      <c r="K70" s="133">
        <v>5</v>
      </c>
      <c r="L70" s="131">
        <v>0</v>
      </c>
      <c r="M70" s="364">
        <v>0</v>
      </c>
      <c r="N70" s="361">
        <v>2012</v>
      </c>
      <c r="O70" s="362"/>
      <c r="P70" s="80"/>
    </row>
    <row r="71" spans="2:16" ht="39" thickBot="1">
      <c r="B71" s="17" t="s">
        <v>197</v>
      </c>
      <c r="C71" s="117" t="s">
        <v>23</v>
      </c>
      <c r="D71" s="54">
        <v>1</v>
      </c>
      <c r="E71" s="9">
        <v>8</v>
      </c>
      <c r="F71" s="9">
        <v>0</v>
      </c>
      <c r="G71" s="264">
        <v>0</v>
      </c>
      <c r="H71" s="4" t="s">
        <v>202</v>
      </c>
      <c r="I71" s="212" t="s">
        <v>23</v>
      </c>
      <c r="J71" s="181">
        <v>1</v>
      </c>
      <c r="K71" s="170">
        <v>6</v>
      </c>
      <c r="L71" s="270">
        <v>0</v>
      </c>
      <c r="M71" s="170">
        <v>0</v>
      </c>
      <c r="N71" s="171">
        <v>2020</v>
      </c>
      <c r="O71" s="149"/>
      <c r="P71" s="80"/>
    </row>
    <row r="72" spans="2:16" ht="13.5" thickTop="1">
      <c r="B72" s="218" t="s">
        <v>17</v>
      </c>
      <c r="C72" s="219" t="s">
        <v>7</v>
      </c>
      <c r="D72" s="126"/>
      <c r="E72" s="368">
        <f>SUM(E73:E79)</f>
        <v>20.16</v>
      </c>
      <c r="F72" s="368">
        <f>SUM(F73:F79)</f>
        <v>28.75</v>
      </c>
      <c r="G72" s="36">
        <f>SUM(G73:G79)</f>
        <v>31</v>
      </c>
      <c r="H72" s="198" t="s">
        <v>214</v>
      </c>
      <c r="I72" s="216" t="s">
        <v>7</v>
      </c>
      <c r="J72" s="157"/>
      <c r="K72" s="375">
        <f>SUM(K73:K79)</f>
        <v>9.8</v>
      </c>
      <c r="L72" s="375">
        <f>SUM(L73:L79)</f>
        <v>18.4</v>
      </c>
      <c r="M72" s="158">
        <f>SUM(M73:M79)</f>
        <v>20</v>
      </c>
      <c r="N72" s="172"/>
      <c r="O72" s="159" t="s">
        <v>214</v>
      </c>
      <c r="P72" s="81"/>
    </row>
    <row r="73" spans="2:16" ht="24">
      <c r="B73" s="297" t="s">
        <v>203</v>
      </c>
      <c r="C73" s="105" t="s">
        <v>208</v>
      </c>
      <c r="D73" s="324">
        <v>2</v>
      </c>
      <c r="E73" s="365">
        <f>D73*0.7</f>
        <v>1.4</v>
      </c>
      <c r="F73" s="265">
        <v>8</v>
      </c>
      <c r="G73" s="257">
        <v>31</v>
      </c>
      <c r="H73" s="29" t="s">
        <v>217</v>
      </c>
      <c r="I73" s="204" t="s">
        <v>207</v>
      </c>
      <c r="J73" s="325">
        <v>2</v>
      </c>
      <c r="K73" s="371">
        <f>J73*0.4</f>
        <v>0.8</v>
      </c>
      <c r="L73" s="173">
        <v>6</v>
      </c>
      <c r="M73" s="173">
        <v>20</v>
      </c>
      <c r="N73" s="337">
        <v>2020</v>
      </c>
      <c r="O73" s="166" t="s">
        <v>218</v>
      </c>
      <c r="P73" s="298"/>
    </row>
    <row r="74" spans="2:16" ht="25.5">
      <c r="B74" s="19" t="s">
        <v>204</v>
      </c>
      <c r="C74" s="108" t="s">
        <v>23</v>
      </c>
      <c r="D74" s="28">
        <v>2</v>
      </c>
      <c r="E74" s="52">
        <f>D74*1</f>
        <v>2</v>
      </c>
      <c r="F74" s="266">
        <v>3</v>
      </c>
      <c r="G74" s="258"/>
      <c r="H74" s="29"/>
      <c r="I74" s="204" t="s">
        <v>23</v>
      </c>
      <c r="J74" s="161">
        <v>2</v>
      </c>
      <c r="K74" s="372">
        <f>J74*0.3</f>
        <v>0.6</v>
      </c>
      <c r="L74" s="174">
        <v>2</v>
      </c>
      <c r="M74" s="174"/>
      <c r="N74" s="350"/>
      <c r="O74" s="147"/>
      <c r="P74" s="61"/>
    </row>
    <row r="75" spans="2:16" ht="25.5">
      <c r="B75" s="18" t="s">
        <v>215</v>
      </c>
      <c r="C75" s="116" t="s">
        <v>23</v>
      </c>
      <c r="D75" s="22">
        <v>2</v>
      </c>
      <c r="E75" s="53">
        <f>D75*2.5</f>
        <v>5</v>
      </c>
      <c r="F75" s="13">
        <v>8</v>
      </c>
      <c r="G75" s="256"/>
      <c r="H75" s="4" t="s">
        <v>216</v>
      </c>
      <c r="I75" s="202" t="s">
        <v>23</v>
      </c>
      <c r="J75" s="323">
        <v>2</v>
      </c>
      <c r="K75" s="353">
        <f>J75*1.5</f>
        <v>3</v>
      </c>
      <c r="L75" s="130">
        <v>5</v>
      </c>
      <c r="M75" s="130"/>
      <c r="N75" s="348"/>
      <c r="O75" s="169" t="s">
        <v>219</v>
      </c>
      <c r="P75" s="61"/>
    </row>
    <row r="76" spans="2:16" ht="12.75">
      <c r="B76" s="18" t="s">
        <v>205</v>
      </c>
      <c r="C76" s="116" t="s">
        <v>23</v>
      </c>
      <c r="D76" s="22">
        <v>2</v>
      </c>
      <c r="E76" s="53">
        <f>D76*1</f>
        <v>2</v>
      </c>
      <c r="F76" s="13">
        <v>4</v>
      </c>
      <c r="G76" s="256"/>
      <c r="H76" s="4" t="s">
        <v>211</v>
      </c>
      <c r="I76" s="202" t="s">
        <v>23</v>
      </c>
      <c r="J76" s="323">
        <v>2</v>
      </c>
      <c r="K76" s="353">
        <f>J76*0.3</f>
        <v>0.6</v>
      </c>
      <c r="L76" s="130">
        <v>3</v>
      </c>
      <c r="M76" s="130"/>
      <c r="N76" s="348"/>
      <c r="O76" s="169" t="s">
        <v>220</v>
      </c>
      <c r="P76" s="61"/>
    </row>
    <row r="77" spans="2:16" ht="12.75">
      <c r="B77" s="18" t="s">
        <v>206</v>
      </c>
      <c r="C77" s="116" t="s">
        <v>23</v>
      </c>
      <c r="D77" s="22">
        <v>2</v>
      </c>
      <c r="E77" s="53">
        <f>D77*1</f>
        <v>2</v>
      </c>
      <c r="F77" s="369">
        <v>5.75</v>
      </c>
      <c r="G77" s="256"/>
      <c r="H77" s="4" t="s">
        <v>209</v>
      </c>
      <c r="I77" s="202" t="s">
        <v>23</v>
      </c>
      <c r="J77" s="323">
        <v>2</v>
      </c>
      <c r="K77" s="353">
        <f>J77*0.5</f>
        <v>1</v>
      </c>
      <c r="L77" s="374">
        <v>2.4</v>
      </c>
      <c r="M77" s="130"/>
      <c r="N77" s="348"/>
      <c r="O77" s="169" t="s">
        <v>212</v>
      </c>
      <c r="P77" s="61"/>
    </row>
    <row r="78" spans="2:16" ht="12.75">
      <c r="B78" s="19" t="s">
        <v>138</v>
      </c>
      <c r="C78" s="116" t="s">
        <v>23</v>
      </c>
      <c r="D78" s="22">
        <v>2</v>
      </c>
      <c r="E78" s="367">
        <f>D78*1</f>
        <v>2</v>
      </c>
      <c r="F78" s="13">
        <v>0</v>
      </c>
      <c r="G78" s="256"/>
      <c r="H78" s="4"/>
      <c r="I78" s="202" t="s">
        <v>23</v>
      </c>
      <c r="J78" s="323">
        <v>2</v>
      </c>
      <c r="K78" s="353">
        <f>J78*0.5</f>
        <v>1</v>
      </c>
      <c r="L78" s="130">
        <v>0</v>
      </c>
      <c r="M78" s="130"/>
      <c r="N78" s="348"/>
      <c r="O78" s="169"/>
      <c r="P78" s="61"/>
    </row>
    <row r="79" spans="2:16" ht="13.5" thickBot="1">
      <c r="B79" s="17" t="s">
        <v>141</v>
      </c>
      <c r="C79" s="117" t="s">
        <v>23</v>
      </c>
      <c r="D79" s="54">
        <v>2</v>
      </c>
      <c r="E79" s="366">
        <f>D79*2.88</f>
        <v>5.76</v>
      </c>
      <c r="F79" s="9">
        <v>0</v>
      </c>
      <c r="G79" s="264"/>
      <c r="H79" s="10" t="s">
        <v>210</v>
      </c>
      <c r="I79" s="212" t="s">
        <v>23</v>
      </c>
      <c r="J79" s="181">
        <v>2</v>
      </c>
      <c r="K79" s="382">
        <f>J79*1.4</f>
        <v>2.8</v>
      </c>
      <c r="L79" s="270">
        <v>0</v>
      </c>
      <c r="M79" s="270"/>
      <c r="N79" s="383"/>
      <c r="O79" s="384" t="s">
        <v>210</v>
      </c>
      <c r="P79" s="80"/>
    </row>
    <row r="80" spans="2:16" ht="13.5" thickTop="1">
      <c r="B80" s="220" t="s">
        <v>2</v>
      </c>
      <c r="C80" s="378" t="s">
        <v>7</v>
      </c>
      <c r="D80" s="379"/>
      <c r="E80" s="1">
        <f>SUM(E81:E88)</f>
        <v>1123.775</v>
      </c>
      <c r="F80" s="1">
        <f>SUM(F81:F88)</f>
        <v>30</v>
      </c>
      <c r="G80" s="1">
        <f>SUM(G81:G88)</f>
        <v>90</v>
      </c>
      <c r="H80" s="380"/>
      <c r="I80" s="381" t="s">
        <v>7</v>
      </c>
      <c r="J80" s="175"/>
      <c r="K80" s="129">
        <f>SUM(K81:K88)</f>
        <v>313.57999</v>
      </c>
      <c r="L80" s="129">
        <f>SUM(L81:L88)</f>
        <v>20</v>
      </c>
      <c r="M80" s="129">
        <f>SUM(M81:M88)</f>
        <v>60</v>
      </c>
      <c r="N80" s="129"/>
      <c r="O80" s="139"/>
      <c r="P80" s="395"/>
    </row>
    <row r="81" spans="1:16" ht="12.75" customHeight="1">
      <c r="A81" t="s">
        <v>58</v>
      </c>
      <c r="B81" s="43" t="s">
        <v>40</v>
      </c>
      <c r="C81" s="108" t="s">
        <v>31</v>
      </c>
      <c r="D81" s="3">
        <v>1</v>
      </c>
      <c r="E81" s="52">
        <f>0.12*(3700)</f>
        <v>444</v>
      </c>
      <c r="F81" s="266"/>
      <c r="G81" s="258"/>
      <c r="H81" s="29" t="s">
        <v>223</v>
      </c>
      <c r="I81" s="204" t="s">
        <v>31</v>
      </c>
      <c r="J81" s="386">
        <v>1</v>
      </c>
      <c r="K81" s="174">
        <f>0.08*1200</f>
        <v>96</v>
      </c>
      <c r="L81" s="174"/>
      <c r="M81" s="174"/>
      <c r="N81" s="174"/>
      <c r="O81" s="147" t="s">
        <v>63</v>
      </c>
      <c r="P81" s="50"/>
    </row>
    <row r="82" spans="2:16" ht="12.75">
      <c r="B82" s="60" t="s">
        <v>61</v>
      </c>
      <c r="C82" s="108" t="s">
        <v>35</v>
      </c>
      <c r="D82" s="376">
        <v>1</v>
      </c>
      <c r="E82" s="52">
        <v>300</v>
      </c>
      <c r="F82" s="266"/>
      <c r="G82" s="258"/>
      <c r="H82" s="29" t="s">
        <v>62</v>
      </c>
      <c r="I82" s="204" t="s">
        <v>35</v>
      </c>
      <c r="J82" s="377">
        <v>1</v>
      </c>
      <c r="K82" s="174">
        <v>100</v>
      </c>
      <c r="L82" s="174"/>
      <c r="M82" s="174"/>
      <c r="N82" s="174"/>
      <c r="O82" s="147" t="s">
        <v>62</v>
      </c>
      <c r="P82" s="82"/>
    </row>
    <row r="83" spans="2:16" ht="15" customHeight="1">
      <c r="B83" s="39" t="s">
        <v>29</v>
      </c>
      <c r="C83" s="108" t="s">
        <v>224</v>
      </c>
      <c r="D83" s="376">
        <v>1</v>
      </c>
      <c r="E83" s="52">
        <f>0.15*(E63+E42+E37+E21+E8)</f>
        <v>239.77499999999998</v>
      </c>
      <c r="F83" s="266" t="s">
        <v>8</v>
      </c>
      <c r="G83" s="258"/>
      <c r="H83" s="41" t="s">
        <v>225</v>
      </c>
      <c r="I83" s="204" t="s">
        <v>224</v>
      </c>
      <c r="J83" s="377">
        <v>1</v>
      </c>
      <c r="K83" s="387">
        <f>0.1*(K63+K42+K37+K21+K8)</f>
        <v>37.57999</v>
      </c>
      <c r="L83" s="176"/>
      <c r="M83" s="176"/>
      <c r="N83" s="176"/>
      <c r="O83" s="177" t="s">
        <v>226</v>
      </c>
      <c r="P83" s="15"/>
    </row>
    <row r="84" spans="2:16" ht="12.75" customHeight="1">
      <c r="B84" s="39" t="s">
        <v>227</v>
      </c>
      <c r="C84" s="388" t="s">
        <v>224</v>
      </c>
      <c r="D84" s="376">
        <v>1</v>
      </c>
      <c r="E84" s="13">
        <v>40</v>
      </c>
      <c r="F84" s="13"/>
      <c r="G84" s="256"/>
      <c r="H84" s="389" t="s">
        <v>228</v>
      </c>
      <c r="I84" s="390" t="s">
        <v>224</v>
      </c>
      <c r="J84" s="377">
        <v>1</v>
      </c>
      <c r="K84" s="391">
        <v>30</v>
      </c>
      <c r="L84" s="391"/>
      <c r="M84" s="391"/>
      <c r="N84" s="392"/>
      <c r="O84" s="393" t="s">
        <v>229</v>
      </c>
      <c r="P84" s="15"/>
    </row>
    <row r="85" spans="2:18" ht="24">
      <c r="B85" s="39" t="s">
        <v>230</v>
      </c>
      <c r="C85" s="388" t="s">
        <v>231</v>
      </c>
      <c r="D85" s="376">
        <v>1</v>
      </c>
      <c r="E85" s="13">
        <v>100</v>
      </c>
      <c r="F85" s="13">
        <v>30</v>
      </c>
      <c r="G85" s="256">
        <v>90</v>
      </c>
      <c r="H85" s="389" t="s">
        <v>232</v>
      </c>
      <c r="I85" s="390" t="s">
        <v>231</v>
      </c>
      <c r="J85" s="377">
        <v>1</v>
      </c>
      <c r="K85" s="173">
        <f>0.5*E85</f>
        <v>50</v>
      </c>
      <c r="L85" s="173">
        <v>20</v>
      </c>
      <c r="M85" s="173">
        <v>60</v>
      </c>
      <c r="N85" s="173"/>
      <c r="O85" s="393" t="s">
        <v>233</v>
      </c>
      <c r="P85" s="15"/>
      <c r="R85" t="s">
        <v>8</v>
      </c>
    </row>
    <row r="86" spans="2:16" ht="12.75">
      <c r="B86" s="42"/>
      <c r="C86" s="108"/>
      <c r="D86" s="48"/>
      <c r="E86" s="52"/>
      <c r="F86" s="266"/>
      <c r="G86" s="258"/>
      <c r="H86" s="41"/>
      <c r="I86" s="204"/>
      <c r="J86" s="167"/>
      <c r="K86" s="150"/>
      <c r="L86" s="150"/>
      <c r="M86" s="150"/>
      <c r="N86" s="150"/>
      <c r="O86" s="177"/>
      <c r="P86" s="15"/>
    </row>
    <row r="87" spans="2:16" ht="12.75">
      <c r="B87" s="19"/>
      <c r="C87" s="116"/>
      <c r="D87" s="184"/>
      <c r="E87" s="53"/>
      <c r="F87" s="13"/>
      <c r="G87" s="256"/>
      <c r="H87" s="4"/>
      <c r="I87" s="202"/>
      <c r="J87" s="168"/>
      <c r="K87" s="150"/>
      <c r="L87" s="150"/>
      <c r="M87" s="150"/>
      <c r="N87" s="150"/>
      <c r="O87" s="169"/>
      <c r="P87" s="44"/>
    </row>
    <row r="88" spans="2:16" ht="13.5" thickBot="1">
      <c r="B88" s="17"/>
      <c r="C88" s="117"/>
      <c r="D88" s="54"/>
      <c r="E88" s="9"/>
      <c r="F88" s="9"/>
      <c r="G88" s="264"/>
      <c r="H88" s="10"/>
      <c r="I88" s="212"/>
      <c r="J88" s="181"/>
      <c r="K88" s="153"/>
      <c r="L88" s="153"/>
      <c r="M88" s="153"/>
      <c r="N88" s="153"/>
      <c r="O88" s="149"/>
      <c r="P88" s="79"/>
    </row>
    <row r="89" spans="2:16" ht="16.5" thickTop="1">
      <c r="B89" s="57"/>
      <c r="C89" s="283" t="s">
        <v>13</v>
      </c>
      <c r="D89" s="278"/>
      <c r="E89" s="280">
        <f>E8+E13+E21+E26+E42+E63+E72+E80</f>
        <v>2609.585</v>
      </c>
      <c r="F89" s="277">
        <f>F8+F13+F21+F26++F37+F42+F63+F72+F80</f>
        <v>1761.7500000000002</v>
      </c>
      <c r="G89" s="259">
        <f>G8+G13+G21+G26+G37+G42+G63+G72+G80</f>
        <v>582</v>
      </c>
      <c r="H89" s="282" t="s">
        <v>74</v>
      </c>
      <c r="I89" s="283" t="s">
        <v>13</v>
      </c>
      <c r="J89" s="23"/>
      <c r="K89" s="280">
        <f>K8+K13+K21+K26+K42+K63+K72+K80</f>
        <v>1004.89389</v>
      </c>
      <c r="L89" s="277">
        <f>L8+L13+L21+L26++L37+L42+L63+L72+L80</f>
        <v>1835.9</v>
      </c>
      <c r="M89" s="259">
        <f>M8+M13+M21+M26+M37+M42+M63+M72+M80</f>
        <v>2032</v>
      </c>
      <c r="N89" s="224"/>
      <c r="O89" s="286" t="s">
        <v>74</v>
      </c>
      <c r="P89" s="95"/>
    </row>
    <row r="90" spans="2:16" ht="15.75">
      <c r="B90" s="57"/>
      <c r="C90" s="284" t="s">
        <v>12</v>
      </c>
      <c r="D90" s="278"/>
      <c r="E90" s="281">
        <f>E89+E37</f>
        <v>3761.585</v>
      </c>
      <c r="F90" s="279"/>
      <c r="G90" s="259"/>
      <c r="H90" s="199"/>
      <c r="I90" s="285" t="s">
        <v>12</v>
      </c>
      <c r="J90" s="23"/>
      <c r="K90" s="281">
        <f>K89+K37</f>
        <v>1198.69389</v>
      </c>
      <c r="L90" s="279"/>
      <c r="M90" s="23"/>
      <c r="N90" s="225"/>
      <c r="O90" s="225"/>
      <c r="P90" s="96"/>
    </row>
    <row r="91" spans="2:16" ht="16.5" thickBot="1">
      <c r="B91" s="58"/>
      <c r="C91" s="97"/>
      <c r="D91" s="98"/>
      <c r="E91" s="99"/>
      <c r="F91" s="99"/>
      <c r="G91" s="99"/>
      <c r="H91" s="100"/>
      <c r="I91" s="98"/>
      <c r="J91" s="100"/>
      <c r="K91" s="100"/>
      <c r="L91" s="100"/>
      <c r="M91" s="100"/>
      <c r="N91" s="100"/>
      <c r="O91" s="100"/>
      <c r="P91" s="101"/>
    </row>
    <row r="93" ht="20.25">
      <c r="A93" s="91"/>
    </row>
    <row r="94" spans="1:15" ht="20.25">
      <c r="A94" s="91"/>
      <c r="E94" s="20"/>
      <c r="F94" s="20"/>
      <c r="G94" s="20"/>
      <c r="H94" s="20"/>
      <c r="O94" t="s">
        <v>8</v>
      </c>
    </row>
    <row r="95" ht="20.25">
      <c r="A95" s="91"/>
    </row>
    <row r="97" spans="7:15" ht="20.25" customHeight="1">
      <c r="G97" s="275" t="s">
        <v>75</v>
      </c>
      <c r="H97" s="276"/>
      <c r="N97" s="411" t="s">
        <v>34</v>
      </c>
      <c r="O97" s="412"/>
    </row>
    <row r="98" spans="4:15" ht="15">
      <c r="D98" s="21"/>
      <c r="E98" s="271"/>
      <c r="F98" s="271"/>
      <c r="G98" s="24" t="s">
        <v>0</v>
      </c>
      <c r="H98" s="24" t="s">
        <v>4</v>
      </c>
      <c r="I98" s="21"/>
      <c r="N98" s="24" t="s">
        <v>0</v>
      </c>
      <c r="O98" s="24" t="s">
        <v>4</v>
      </c>
    </row>
    <row r="99" spans="5:15" ht="12.75">
      <c r="E99" s="272"/>
      <c r="F99" s="272"/>
      <c r="G99" s="22" t="str">
        <f>B8</f>
        <v>Payload</v>
      </c>
      <c r="H99" s="104">
        <f>E8</f>
        <v>300</v>
      </c>
      <c r="N99" s="22" t="str">
        <f>B8</f>
        <v>Payload</v>
      </c>
      <c r="O99" s="104">
        <f>K8</f>
        <v>99.9999</v>
      </c>
    </row>
    <row r="100" spans="5:15" ht="12.75">
      <c r="E100" s="272"/>
      <c r="F100" s="272"/>
      <c r="G100" s="22" t="str">
        <f>B13</f>
        <v> Power</v>
      </c>
      <c r="H100" s="26">
        <f>E13</f>
        <v>615.55</v>
      </c>
      <c r="N100" s="22" t="str">
        <f>B13</f>
        <v> Power</v>
      </c>
      <c r="O100" s="26">
        <f>K13</f>
        <v>300</v>
      </c>
    </row>
    <row r="101" spans="5:15" ht="12.75">
      <c r="E101" s="272"/>
      <c r="F101" s="272"/>
      <c r="G101" s="22" t="str">
        <f>B21</f>
        <v>Thermal</v>
      </c>
      <c r="H101" s="26">
        <f>E21</f>
        <v>22.5</v>
      </c>
      <c r="N101" s="22" t="str">
        <f>B21</f>
        <v>Thermal</v>
      </c>
      <c r="O101" s="26">
        <f>K21</f>
        <v>20</v>
      </c>
    </row>
    <row r="102" spans="4:15" s="21" customFormat="1" ht="15" customHeight="1">
      <c r="D102"/>
      <c r="E102" s="272"/>
      <c r="F102" s="272"/>
      <c r="G102" s="22" t="str">
        <f>B26</f>
        <v>Propulsion</v>
      </c>
      <c r="H102" s="26">
        <f>E26</f>
        <v>403.6</v>
      </c>
      <c r="I102"/>
      <c r="N102" s="22" t="str">
        <f>B26</f>
        <v>Propulsion</v>
      </c>
      <c r="O102" s="26">
        <f>K26</f>
        <v>199.51399999999998</v>
      </c>
    </row>
    <row r="103" spans="5:15" ht="12.75">
      <c r="E103" s="272"/>
      <c r="F103" s="272"/>
      <c r="G103" s="22" t="str">
        <f>B37</f>
        <v>Propellant </v>
      </c>
      <c r="H103" s="26">
        <f>E37</f>
        <v>1152</v>
      </c>
      <c r="N103" s="22" t="str">
        <f>B37</f>
        <v>Propellant </v>
      </c>
      <c r="O103" s="26">
        <f>K37</f>
        <v>193.8</v>
      </c>
    </row>
    <row r="104" spans="5:15" ht="12.75">
      <c r="E104" s="272"/>
      <c r="F104" s="272"/>
      <c r="G104" s="22" t="str">
        <f>B42</f>
        <v>GNC</v>
      </c>
      <c r="H104" s="26">
        <f>E42</f>
        <v>79</v>
      </c>
      <c r="N104" s="22" t="str">
        <f>B42</f>
        <v>GNC</v>
      </c>
      <c r="O104" s="26">
        <f>K42</f>
        <v>36</v>
      </c>
    </row>
    <row r="105" spans="5:15" ht="12.75">
      <c r="E105" s="272"/>
      <c r="F105" s="272"/>
      <c r="G105" s="22" t="str">
        <f>B63</f>
        <v>Comm</v>
      </c>
      <c r="H105" s="26">
        <f>E63</f>
        <v>45</v>
      </c>
      <c r="N105" s="22" t="str">
        <f>B63</f>
        <v>Comm</v>
      </c>
      <c r="O105" s="26">
        <f>K63</f>
        <v>26</v>
      </c>
    </row>
    <row r="106" spans="5:15" ht="12.75">
      <c r="E106" s="272"/>
      <c r="F106" s="272"/>
      <c r="G106" s="22" t="str">
        <f>B72</f>
        <v>C&amp;DH</v>
      </c>
      <c r="H106" s="26">
        <f>E72</f>
        <v>20.16</v>
      </c>
      <c r="N106" s="22" t="str">
        <f>B72</f>
        <v>C&amp;DH</v>
      </c>
      <c r="O106" s="26">
        <f>K72</f>
        <v>9.8</v>
      </c>
    </row>
    <row r="107" spans="5:15" ht="12.75">
      <c r="E107" s="272"/>
      <c r="F107" s="272"/>
      <c r="G107" s="22" t="str">
        <f>B80</f>
        <v>Structure </v>
      </c>
      <c r="H107" s="26">
        <f>E80</f>
        <v>1123.775</v>
      </c>
      <c r="N107" s="22" t="str">
        <f>B80</f>
        <v>Structure </v>
      </c>
      <c r="O107" s="26">
        <f>K80</f>
        <v>313.57999</v>
      </c>
    </row>
    <row r="108" spans="5:15" ht="25.5">
      <c r="E108" s="273"/>
      <c r="F108" s="273"/>
      <c r="G108" s="25" t="s">
        <v>13</v>
      </c>
      <c r="H108" s="27">
        <f>SUM(H99:H107)-H103</f>
        <v>2609.585</v>
      </c>
      <c r="I108" s="290"/>
      <c r="N108" s="25" t="s">
        <v>13</v>
      </c>
      <c r="O108" s="27">
        <f>SUM(O99:O107)-O103</f>
        <v>1004.89389</v>
      </c>
    </row>
    <row r="109" spans="5:15" ht="25.5">
      <c r="E109" s="273"/>
      <c r="F109" s="273"/>
      <c r="G109" s="25" t="s">
        <v>12</v>
      </c>
      <c r="H109" s="27">
        <f>SUM(H99:H107)</f>
        <v>3761.585</v>
      </c>
      <c r="I109" s="290"/>
      <c r="N109" s="25" t="s">
        <v>12</v>
      </c>
      <c r="O109" s="27">
        <f>SUM(O99:O107)</f>
        <v>1198.69389</v>
      </c>
    </row>
    <row r="112" ht="15">
      <c r="A112" s="92"/>
    </row>
    <row r="114" spans="6:15" ht="20.25">
      <c r="F114" s="275"/>
      <c r="G114" s="288" t="s">
        <v>78</v>
      </c>
      <c r="H114" s="287"/>
      <c r="M114" s="275"/>
      <c r="N114" s="288" t="s">
        <v>189</v>
      </c>
      <c r="O114" s="287"/>
    </row>
    <row r="115" spans="6:15" ht="45">
      <c r="F115" s="24" t="s">
        <v>0</v>
      </c>
      <c r="G115" s="274" t="s">
        <v>76</v>
      </c>
      <c r="H115" s="274" t="s">
        <v>77</v>
      </c>
      <c r="M115" s="24" t="s">
        <v>0</v>
      </c>
      <c r="N115" s="274" t="s">
        <v>76</v>
      </c>
      <c r="O115" s="274" t="s">
        <v>77</v>
      </c>
    </row>
    <row r="116" spans="6:15" ht="12.75">
      <c r="F116" s="22" t="s">
        <v>1</v>
      </c>
      <c r="G116" s="104">
        <f>F8</f>
        <v>300</v>
      </c>
      <c r="H116" s="104">
        <f>G8</f>
        <v>0</v>
      </c>
      <c r="M116" s="22" t="s">
        <v>1</v>
      </c>
      <c r="N116" s="104">
        <f>L8</f>
        <v>90</v>
      </c>
      <c r="O116" s="104">
        <f>M8</f>
        <v>120</v>
      </c>
    </row>
    <row r="117" spans="6:15" ht="12.75">
      <c r="F117" s="22" t="s">
        <v>14</v>
      </c>
      <c r="G117" s="26">
        <f>F13</f>
        <v>0</v>
      </c>
      <c r="H117" s="26">
        <f>G13</f>
        <v>0</v>
      </c>
      <c r="M117" s="22" t="s">
        <v>14</v>
      </c>
      <c r="N117" s="26">
        <f>L13</f>
        <v>0</v>
      </c>
      <c r="O117" s="26">
        <f>M13</f>
        <v>0</v>
      </c>
    </row>
    <row r="118" spans="6:15" ht="12.75">
      <c r="F118" s="22" t="s">
        <v>10</v>
      </c>
      <c r="G118" s="26">
        <f>F21</f>
        <v>210</v>
      </c>
      <c r="H118" s="26">
        <f>G21</f>
        <v>0</v>
      </c>
      <c r="M118" s="22" t="s">
        <v>10</v>
      </c>
      <c r="N118" s="26">
        <f>L21</f>
        <v>210</v>
      </c>
      <c r="O118" s="26">
        <f>M21</f>
        <v>210</v>
      </c>
    </row>
    <row r="119" spans="6:15" ht="12.75">
      <c r="F119" s="22" t="s">
        <v>15</v>
      </c>
      <c r="G119" s="26">
        <f>F26</f>
        <v>1005.0000000000002</v>
      </c>
      <c r="H119" s="26">
        <f>G26</f>
        <v>0</v>
      </c>
      <c r="M119" s="22" t="s">
        <v>15</v>
      </c>
      <c r="N119" s="26">
        <f>L26</f>
        <v>1407.5</v>
      </c>
      <c r="O119" s="26">
        <f>M26</f>
        <v>1408</v>
      </c>
    </row>
    <row r="120" spans="6:15" ht="12.75">
      <c r="F120" s="22" t="s">
        <v>16</v>
      </c>
      <c r="G120" s="26">
        <f>F37</f>
        <v>0</v>
      </c>
      <c r="H120" s="26">
        <f>G37</f>
        <v>0</v>
      </c>
      <c r="M120" s="22" t="s">
        <v>16</v>
      </c>
      <c r="N120" s="26">
        <f>L37</f>
        <v>0</v>
      </c>
      <c r="O120" s="26">
        <f>M37</f>
        <v>0</v>
      </c>
    </row>
    <row r="121" spans="6:15" ht="12.75">
      <c r="F121" s="22" t="s">
        <v>66</v>
      </c>
      <c r="G121" s="26">
        <f>F42</f>
        <v>99</v>
      </c>
      <c r="H121" s="26">
        <f>G42</f>
        <v>213</v>
      </c>
      <c r="M121" s="22" t="s">
        <v>66</v>
      </c>
      <c r="N121" s="26">
        <f>L42</f>
        <v>38</v>
      </c>
      <c r="O121" s="26">
        <f>M42</f>
        <v>65</v>
      </c>
    </row>
    <row r="122" spans="6:15" ht="12.75">
      <c r="F122" s="22" t="s">
        <v>9</v>
      </c>
      <c r="G122" s="26">
        <f>F63</f>
        <v>89</v>
      </c>
      <c r="H122" s="26">
        <f>G63</f>
        <v>248</v>
      </c>
      <c r="M122" s="22" t="s">
        <v>9</v>
      </c>
      <c r="N122" s="26">
        <f>L63</f>
        <v>52</v>
      </c>
      <c r="O122" s="26">
        <f>M63</f>
        <v>149</v>
      </c>
    </row>
    <row r="123" spans="6:15" ht="12.75">
      <c r="F123" s="22" t="s">
        <v>17</v>
      </c>
      <c r="G123" s="26">
        <f>F72</f>
        <v>28.75</v>
      </c>
      <c r="H123" s="26">
        <f>G72</f>
        <v>31</v>
      </c>
      <c r="M123" s="22" t="s">
        <v>17</v>
      </c>
      <c r="N123" s="26">
        <f>L72</f>
        <v>18.4</v>
      </c>
      <c r="O123" s="26">
        <f>M72</f>
        <v>20</v>
      </c>
    </row>
    <row r="124" spans="6:15" ht="12.75">
      <c r="F124" s="22" t="s">
        <v>2</v>
      </c>
      <c r="G124" s="26">
        <f>F80</f>
        <v>30</v>
      </c>
      <c r="H124" s="26">
        <f>G80</f>
        <v>90</v>
      </c>
      <c r="M124" s="22" t="s">
        <v>2</v>
      </c>
      <c r="N124" s="26">
        <f>L80</f>
        <v>20</v>
      </c>
      <c r="O124" s="26">
        <f>M80</f>
        <v>60</v>
      </c>
    </row>
    <row r="125" spans="6:15" ht="25.5">
      <c r="F125" s="25" t="s">
        <v>74</v>
      </c>
      <c r="G125" s="27">
        <f>SUM(G116:G124)</f>
        <v>1761.7500000000002</v>
      </c>
      <c r="H125" s="27">
        <f>SUM(H116:H124)</f>
        <v>582</v>
      </c>
      <c r="M125" s="25" t="s">
        <v>74</v>
      </c>
      <c r="N125" s="27">
        <f>SUM(N116:N124)</f>
        <v>1835.9</v>
      </c>
      <c r="O125" s="27">
        <f>SUM(O116:O124)</f>
        <v>2032</v>
      </c>
    </row>
  </sheetData>
  <mergeCells count="17">
    <mergeCell ref="P6:P7"/>
    <mergeCell ref="K6:K7"/>
    <mergeCell ref="N6:N7"/>
    <mergeCell ref="N97:O97"/>
    <mergeCell ref="O6:O7"/>
    <mergeCell ref="L6:L7"/>
    <mergeCell ref="M6:M7"/>
    <mergeCell ref="C3:J4"/>
    <mergeCell ref="B6:B7"/>
    <mergeCell ref="E6:E7"/>
    <mergeCell ref="C6:C7"/>
    <mergeCell ref="D6:D7"/>
    <mergeCell ref="H6:H7"/>
    <mergeCell ref="F6:F7"/>
    <mergeCell ref="G6:G7"/>
    <mergeCell ref="J6:J7"/>
    <mergeCell ref="I6:I7"/>
  </mergeCells>
  <printOptions/>
  <pageMargins left="0.75" right="0.75" top="1" bottom="1" header="0.5" footer="0.5"/>
  <pageSetup horizontalDpi="600" verticalDpi="600" orientation="landscape" scale="40" r:id="rId3"/>
  <ignoredErrors>
    <ignoredError sqref="E75 K7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 Governement Solutions Group/ODIN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A. Krizan</dc:creator>
  <cp:keywords/>
  <dc:description/>
  <cp:lastModifiedBy>Edward Mettler</cp:lastModifiedBy>
  <cp:lastPrinted>2003-12-13T00:23:30Z</cp:lastPrinted>
  <dcterms:created xsi:type="dcterms:W3CDTF">2002-05-16T18:41:40Z</dcterms:created>
  <dcterms:modified xsi:type="dcterms:W3CDTF">2004-01-23T00:33:55Z</dcterms:modified>
  <cp:category/>
  <cp:version/>
  <cp:contentType/>
  <cp:contentStatus/>
</cp:coreProperties>
</file>